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defaultThemeVersion="124226"/>
  <bookViews>
    <workbookView xWindow="450" yWindow="495" windowWidth="17850" windowHeight="9780" tabRatio="726"/>
  </bookViews>
  <sheets>
    <sheet name="TOC" sheetId="76" r:id="rId1"/>
    <sheet name="Table 1 and Figure" sheetId="63" r:id="rId2"/>
    <sheet name="1-Table 1" sheetId="43" r:id="rId3"/>
    <sheet name="2- Key Assumptions" sheetId="4" r:id="rId4"/>
    <sheet name="3-market share" sheetId="74" r:id="rId5"/>
    <sheet name="4- Range" sheetId="75" r:id="rId6"/>
    <sheet name="5-Auto Prices " sheetId="44" r:id="rId7"/>
    <sheet name="6-Fuel NPV" sheetId="3" r:id="rId8"/>
    <sheet name="7-External Costs Summary" sheetId="59" r:id="rId9"/>
    <sheet name="8-External Costs - Fuel" sheetId="47" r:id="rId10"/>
    <sheet name="9-External Costs- Assembly" sheetId="58" r:id="rId11"/>
    <sheet name="10a-CV Operation" sheetId="21" r:id="rId12"/>
    <sheet name="10b-E85-Operation" sheetId="53" r:id="rId13"/>
    <sheet name="10c-HEV- Operation" sheetId="60" r:id="rId14"/>
    <sheet name="10d-CNG Operation" sheetId="54" r:id="rId15"/>
    <sheet name="10e-FCV-Operation" sheetId="57" r:id="rId16"/>
    <sheet name="10f-BEV- Operation" sheetId="55" r:id="rId17"/>
    <sheet name="11-Oil Externalities" sheetId="62" r:id="rId18"/>
    <sheet name="12a-NAS-output-VMT" sheetId="48" r:id="rId19"/>
    <sheet name="12b-energy-emission-factors" sheetId="49" r:id="rId20"/>
    <sheet name="13- GREET INPUT ASSUMPTIONS--&gt;" sheetId="73" r:id="rId21"/>
    <sheet name="a-GREET 1 2011 Results 2015" sheetId="65" r:id="rId22"/>
    <sheet name="b-GREET 1 2011 Vehicle" sheetId="66" r:id="rId23"/>
    <sheet name="c-GREET 2.7" sheetId="11" r:id="rId24"/>
    <sheet name="Petroleum,NG Pathways 2015" sheetId="67" r:id="rId25"/>
    <sheet name="EtOH,H2,BD,Elec. Pathways 2015" sheetId="68" r:id="rId26"/>
    <sheet name="Fuel Blends Options 2015" sheetId="69" r:id="rId27"/>
    <sheet name="Market Shares" sheetId="70" r:id="rId28"/>
    <sheet name="Production Assumptions 2015" sheetId="71" r:id="rId29"/>
    <sheet name="PHEV Options 2015" sheetId="72" r:id="rId30"/>
    <sheet name="deflator" sheetId="46" r:id="rId31"/>
    <sheet name="not in use--&gt;" sheetId="77" r:id="rId32"/>
    <sheet name="Auto Prices GSA" sheetId="1" r:id="rId33"/>
  </sheets>
  <definedNames>
    <definedName name="_xlnm._FilterDatabase" localSheetId="1" hidden="1">'Table 1 and Figure'!$B$3:$K$3</definedName>
    <definedName name="CHARGING_EFFICIENCY">'2- Key Assumptions'!$C$24</definedName>
    <definedName name="CNG_MPG">'2- Key Assumptions'!$C$28</definedName>
    <definedName name="CNG_PRICES_2010DOLLARS">'2- Key Assumptions'!$C$27</definedName>
    <definedName name="CNGPRICE_CURRENT">'6-Fuel NPV'!$C$5</definedName>
    <definedName name="CV_MPG">'2- Key Assumptions'!$C$11</definedName>
    <definedName name="DISCOUNT_RATE">'2- Key Assumptions'!$C$5</definedName>
    <definedName name="DISCOUNT_RATE_FUEL">'2- Key Assumptions'!$C$7</definedName>
    <definedName name="E85_MPG">'2- Key Assumptions'!$C$15</definedName>
    <definedName name="E85_PRICE_2010DOLLARS">'2- Key Assumptions'!$C$14</definedName>
    <definedName name="E85_PRICE_CURRENT">'6-Fuel NPV'!$C$6</definedName>
    <definedName name="ELECTRICITY_CURRENT">'6-Fuel NPV'!$B$7</definedName>
    <definedName name="ELECTRICITYPRICE_2010DOLLARS">'2- Key Assumptions'!$C$22</definedName>
    <definedName name="GAS_PRICE_2010DOLLARS">'2- Key Assumptions'!$C$10</definedName>
    <definedName name="GAS_PRICE_CURRENT">'6-Fuel NPV'!$C$4</definedName>
    <definedName name="HEV_MPG">'2- Key Assumptions'!$C$19</definedName>
    <definedName name="HFCV_MPG">'2- Key Assumptions'!$C$32</definedName>
    <definedName name="HYDROGEN_CURRENT">'6-Fuel NPV'!$C$8</definedName>
    <definedName name="HYDROGENPRICES_2010DOLLARS">'2- Key Assumptions'!$C$31</definedName>
    <definedName name="LIFETIME_MILES">'2- Key Assumptions'!$C$3</definedName>
    <definedName name="LIFETIME_YEARS">'2- Key Assumptions'!$C$4</definedName>
    <definedName name="MI_KWH">'2- Key Assumptions'!$C$23</definedName>
    <definedName name="RFG_SHARE">'2- Key Assumptions'!$C$36</definedName>
    <definedName name="SCC">'2- Key Assumptions'!$C$39</definedName>
    <definedName name="TAR_SANDS">'2- Key Assumptions'!$C$35</definedName>
  </definedNames>
  <calcPr calcId="125725"/>
</workbook>
</file>

<file path=xl/calcChain.xml><?xml version="1.0" encoding="utf-8"?>
<calcChain xmlns="http://schemas.openxmlformats.org/spreadsheetml/2006/main">
  <c r="B7" i="3"/>
  <c r="C22" i="4" s="1"/>
  <c r="C6" i="3"/>
  <c r="C14" i="4" s="1"/>
  <c r="C5" i="3"/>
  <c r="C27" i="4" s="1"/>
  <c r="C8" i="3"/>
  <c r="C31" i="4" s="1"/>
  <c r="C4" i="3"/>
  <c r="C10" i="4" s="1"/>
  <c r="I30" i="58"/>
  <c r="H30"/>
  <c r="C30"/>
  <c r="E30"/>
  <c r="G30"/>
  <c r="F30"/>
  <c r="C4" i="44"/>
  <c r="C5"/>
  <c r="C6"/>
  <c r="C7"/>
  <c r="C8"/>
  <c r="E7" i="43"/>
  <c r="E5" i="63" s="1"/>
  <c r="E8" i="43"/>
  <c r="E4" i="63" s="1"/>
  <c r="E9" i="43"/>
  <c r="E9" i="63" s="1"/>
  <c r="C3" i="44"/>
  <c r="E5" i="43" s="1"/>
  <c r="E6" i="63" s="1"/>
  <c r="E6" i="43"/>
  <c r="E7" i="63" s="1"/>
  <c r="E10" i="43"/>
  <c r="E8" i="63" s="1"/>
  <c r="C15" i="4"/>
  <c r="G5" i="55"/>
  <c r="F5"/>
  <c r="E5"/>
  <c r="D5"/>
  <c r="C5"/>
  <c r="B5"/>
  <c r="G5" i="57"/>
  <c r="F5"/>
  <c r="E5"/>
  <c r="D5"/>
  <c r="C5"/>
  <c r="B5"/>
  <c r="G5" i="54"/>
  <c r="F5"/>
  <c r="E5"/>
  <c r="D6"/>
  <c r="D7"/>
  <c r="D8"/>
  <c r="D9"/>
  <c r="D10"/>
  <c r="D11"/>
  <c r="D12"/>
  <c r="D13"/>
  <c r="D14"/>
  <c r="D15"/>
  <c r="D16"/>
  <c r="D5"/>
  <c r="C6"/>
  <c r="C7"/>
  <c r="C8"/>
  <c r="C9"/>
  <c r="C10"/>
  <c r="C11"/>
  <c r="C12"/>
  <c r="C13"/>
  <c r="C14"/>
  <c r="C15"/>
  <c r="C16"/>
  <c r="C5"/>
  <c r="B6"/>
  <c r="B7"/>
  <c r="B8"/>
  <c r="B9"/>
  <c r="B10"/>
  <c r="B11"/>
  <c r="B12"/>
  <c r="B13"/>
  <c r="B14"/>
  <c r="B15"/>
  <c r="B16"/>
  <c r="B5"/>
  <c r="G6" i="60"/>
  <c r="G7"/>
  <c r="G8"/>
  <c r="G9"/>
  <c r="G10"/>
  <c r="G11"/>
  <c r="G12"/>
  <c r="G13"/>
  <c r="G14"/>
  <c r="G15"/>
  <c r="G16"/>
  <c r="G5"/>
  <c r="F6"/>
  <c r="F7"/>
  <c r="F8"/>
  <c r="F9"/>
  <c r="F10"/>
  <c r="F11"/>
  <c r="F12"/>
  <c r="F13"/>
  <c r="F14"/>
  <c r="F15"/>
  <c r="F16"/>
  <c r="F5"/>
  <c r="E6"/>
  <c r="E7"/>
  <c r="E8"/>
  <c r="E9"/>
  <c r="E10"/>
  <c r="E11"/>
  <c r="E12"/>
  <c r="E13"/>
  <c r="E14"/>
  <c r="E15"/>
  <c r="E16"/>
  <c r="E5"/>
  <c r="D6"/>
  <c r="D7"/>
  <c r="D8"/>
  <c r="D9"/>
  <c r="D10"/>
  <c r="D11"/>
  <c r="D12"/>
  <c r="D13"/>
  <c r="D14"/>
  <c r="D15"/>
  <c r="D16"/>
  <c r="D5"/>
  <c r="C6"/>
  <c r="C7"/>
  <c r="C8"/>
  <c r="C9"/>
  <c r="C10"/>
  <c r="C11"/>
  <c r="C12"/>
  <c r="C13"/>
  <c r="C14"/>
  <c r="C15"/>
  <c r="C16"/>
  <c r="C5"/>
  <c r="B6"/>
  <c r="B7"/>
  <c r="B8"/>
  <c r="B9"/>
  <c r="B10"/>
  <c r="B11"/>
  <c r="B12"/>
  <c r="B13"/>
  <c r="B14"/>
  <c r="B15"/>
  <c r="B16"/>
  <c r="B5"/>
  <c r="D6" i="53"/>
  <c r="D7"/>
  <c r="D8"/>
  <c r="D9"/>
  <c r="D10"/>
  <c r="D11"/>
  <c r="D12"/>
  <c r="D13"/>
  <c r="D14"/>
  <c r="D15"/>
  <c r="D16"/>
  <c r="D5"/>
  <c r="C6"/>
  <c r="C7"/>
  <c r="C8"/>
  <c r="C9"/>
  <c r="C10"/>
  <c r="C11"/>
  <c r="C12"/>
  <c r="C13"/>
  <c r="C14"/>
  <c r="C15"/>
  <c r="C16"/>
  <c r="C5"/>
  <c r="B6"/>
  <c r="B7"/>
  <c r="B8"/>
  <c r="B9"/>
  <c r="B10"/>
  <c r="B11"/>
  <c r="B12"/>
  <c r="B13"/>
  <c r="B14"/>
  <c r="B15"/>
  <c r="B16"/>
  <c r="B5"/>
  <c r="D6" i="21"/>
  <c r="D7"/>
  <c r="D8"/>
  <c r="D9"/>
  <c r="D10"/>
  <c r="D11"/>
  <c r="D12"/>
  <c r="D13"/>
  <c r="D14"/>
  <c r="D15"/>
  <c r="D16"/>
  <c r="D5"/>
  <c r="C16"/>
  <c r="C6"/>
  <c r="C7"/>
  <c r="C8"/>
  <c r="C9"/>
  <c r="C10"/>
  <c r="C11"/>
  <c r="C12"/>
  <c r="C13"/>
  <c r="C14"/>
  <c r="C15"/>
  <c r="C5"/>
  <c r="B5"/>
  <c r="B6"/>
  <c r="B7"/>
  <c r="B8"/>
  <c r="B9"/>
  <c r="B10"/>
  <c r="B11"/>
  <c r="B12"/>
  <c r="B13"/>
  <c r="B14"/>
  <c r="B15"/>
  <c r="B16"/>
  <c r="O15"/>
  <c r="AC15" i="58"/>
  <c r="AC14"/>
  <c r="H26"/>
  <c r="E26"/>
  <c r="AC20"/>
  <c r="AC19"/>
  <c r="AC18"/>
  <c r="AC17"/>
  <c r="AC16"/>
  <c r="F45" i="4"/>
  <c r="C28"/>
  <c r="I26" i="58"/>
  <c r="G26"/>
  <c r="F26"/>
  <c r="I24"/>
  <c r="I28"/>
  <c r="E28"/>
  <c r="M11" i="47"/>
  <c r="M12"/>
  <c r="M13"/>
  <c r="M14"/>
  <c r="M15"/>
  <c r="M16"/>
  <c r="M17"/>
  <c r="M18"/>
  <c r="M19"/>
  <c r="M20"/>
  <c r="M21"/>
  <c r="M22"/>
  <c r="D6" i="44"/>
  <c r="J30" i="58" l="1"/>
  <c r="C26"/>
  <c r="J26" s="1"/>
  <c r="C28"/>
  <c r="C24"/>
  <c r="D8" i="44"/>
  <c r="F12" i="3"/>
  <c r="O15" i="57"/>
  <c r="D7" i="43"/>
  <c r="D5" i="63" s="1"/>
  <c r="C5" i="75"/>
  <c r="G8"/>
  <c r="F8"/>
  <c r="F7"/>
  <c r="C8"/>
  <c r="C6" i="63"/>
  <c r="C3"/>
  <c r="D3"/>
  <c r="D10" i="43"/>
  <c r="D8" i="63" s="1"/>
  <c r="D8" i="43"/>
  <c r="D4" i="63" s="1"/>
  <c r="D9" i="43"/>
  <c r="D9" i="63" s="1"/>
  <c r="D6" i="43"/>
  <c r="D7" i="63" s="1"/>
  <c r="D5" i="43"/>
  <c r="D6" i="63" s="1"/>
  <c r="C7" i="75"/>
  <c r="C18" i="4" l="1"/>
  <c r="C10" i="43"/>
  <c r="C8" i="63" s="1"/>
  <c r="H16" i="74"/>
  <c r="C9" i="43" s="1"/>
  <c r="C9" i="63" s="1"/>
  <c r="C8" i="43"/>
  <c r="C4" i="63" s="1"/>
  <c r="H12" i="74"/>
  <c r="H14"/>
  <c r="C6" i="43" s="1"/>
  <c r="C7" i="63" s="1"/>
  <c r="H18" i="74"/>
  <c r="H22"/>
  <c r="H26"/>
  <c r="H28"/>
  <c r="C7" i="43" s="1"/>
  <c r="C5" i="63" s="1"/>
  <c r="H29" i="74"/>
  <c r="C7" i="4" l="1"/>
  <c r="C32"/>
  <c r="C19"/>
  <c r="E12" i="3" s="1"/>
  <c r="C11" i="4"/>
  <c r="C12" i="3" s="1"/>
  <c r="D2" i="66"/>
  <c r="E2"/>
  <c r="F2"/>
  <c r="G2"/>
  <c r="H2"/>
  <c r="I2"/>
  <c r="J2"/>
  <c r="K2"/>
  <c r="L2"/>
  <c r="M2"/>
  <c r="N2"/>
  <c r="O2"/>
  <c r="P2"/>
  <c r="Q2"/>
  <c r="D3"/>
  <c r="E3"/>
  <c r="F3"/>
  <c r="G3"/>
  <c r="H3"/>
  <c r="I3"/>
  <c r="J3"/>
  <c r="K3"/>
  <c r="L3"/>
  <c r="M3"/>
  <c r="N3"/>
  <c r="O3"/>
  <c r="P3"/>
  <c r="Q3"/>
  <c r="F42" i="4"/>
  <c r="C39" s="1"/>
  <c r="K30" i="58" s="1"/>
  <c r="E52" i="4"/>
  <c r="F52"/>
  <c r="E51"/>
  <c r="F51"/>
  <c r="C35"/>
  <c r="H49" s="1"/>
  <c r="O15" i="54"/>
  <c r="C51" i="4"/>
  <c r="D51"/>
  <c r="E24" i="58"/>
  <c r="F24"/>
  <c r="G24"/>
  <c r="H24"/>
  <c r="F41" i="4"/>
  <c r="F43"/>
  <c r="F44"/>
  <c r="F40"/>
  <c r="F53"/>
  <c r="E53"/>
  <c r="F50"/>
  <c r="E50"/>
  <c r="D53"/>
  <c r="D50"/>
  <c r="D52"/>
  <c r="C52"/>
  <c r="C53"/>
  <c r="H50"/>
  <c r="C50" s="1"/>
  <c r="H21" i="62"/>
  <c r="G21"/>
  <c r="F21"/>
  <c r="O18" i="60"/>
  <c r="O21"/>
  <c r="O20"/>
  <c r="O19"/>
  <c r="O17"/>
  <c r="O16"/>
  <c r="O15"/>
  <c r="H28" i="58"/>
  <c r="G28"/>
  <c r="F28"/>
  <c r="O21" i="57"/>
  <c r="O20"/>
  <c r="F13"/>
  <c r="O19"/>
  <c r="E10" s="1"/>
  <c r="O18"/>
  <c r="O17"/>
  <c r="C12" s="1"/>
  <c r="O16"/>
  <c r="F16"/>
  <c r="D16"/>
  <c r="C16"/>
  <c r="E15"/>
  <c r="D15"/>
  <c r="F14"/>
  <c r="E14"/>
  <c r="B14"/>
  <c r="D13"/>
  <c r="G12"/>
  <c r="E12"/>
  <c r="D12"/>
  <c r="G11"/>
  <c r="F11"/>
  <c r="D11"/>
  <c r="C11"/>
  <c r="B11"/>
  <c r="F10"/>
  <c r="E9"/>
  <c r="D9"/>
  <c r="D8"/>
  <c r="C8"/>
  <c r="F7"/>
  <c r="E7"/>
  <c r="C7"/>
  <c r="F6"/>
  <c r="B6"/>
  <c r="O21" i="55"/>
  <c r="G13" s="1"/>
  <c r="O20"/>
  <c r="F12" s="1"/>
  <c r="O19"/>
  <c r="E12" s="1"/>
  <c r="O18"/>
  <c r="D16" s="1"/>
  <c r="O17"/>
  <c r="C13" s="1"/>
  <c r="O16"/>
  <c r="B10" s="1"/>
  <c r="O15"/>
  <c r="F15"/>
  <c r="B15"/>
  <c r="G12"/>
  <c r="E11"/>
  <c r="F10"/>
  <c r="G8"/>
  <c r="F7"/>
  <c r="E7"/>
  <c r="E6"/>
  <c r="B6"/>
  <c r="O21" i="54"/>
  <c r="O20"/>
  <c r="O19"/>
  <c r="O18"/>
  <c r="O17"/>
  <c r="O16"/>
  <c r="O21" i="53"/>
  <c r="O20"/>
  <c r="O19"/>
  <c r="O18"/>
  <c r="O17"/>
  <c r="O16"/>
  <c r="O15"/>
  <c r="M157" i="48"/>
  <c r="M149"/>
  <c r="E6" i="54"/>
  <c r="E8"/>
  <c r="E6" i="57"/>
  <c r="D7"/>
  <c r="B15"/>
  <c r="F15"/>
  <c r="D6"/>
  <c r="B8"/>
  <c r="F8"/>
  <c r="D10"/>
  <c r="B12"/>
  <c r="F12"/>
  <c r="G13"/>
  <c r="D14"/>
  <c r="G6"/>
  <c r="B9"/>
  <c r="F9"/>
  <c r="G10"/>
  <c r="B13"/>
  <c r="D6" i="55"/>
  <c r="F8"/>
  <c r="F8" i="54"/>
  <c r="F9"/>
  <c r="O21" i="21"/>
  <c r="O20"/>
  <c r="O19"/>
  <c r="O18"/>
  <c r="O17"/>
  <c r="O16"/>
  <c r="H8" i="59" l="1"/>
  <c r="I9" i="60"/>
  <c r="I13"/>
  <c r="I5"/>
  <c r="I9" i="53"/>
  <c r="I13"/>
  <c r="I5"/>
  <c r="I9" i="21"/>
  <c r="I13"/>
  <c r="I5"/>
  <c r="I5" i="55"/>
  <c r="I8" i="60"/>
  <c r="I12"/>
  <c r="I16"/>
  <c r="I8" i="53"/>
  <c r="I12"/>
  <c r="I16"/>
  <c r="I8" i="21"/>
  <c r="I12"/>
  <c r="I16"/>
  <c r="I5" i="57"/>
  <c r="I7" i="60"/>
  <c r="I11"/>
  <c r="I15"/>
  <c r="I7" i="53"/>
  <c r="I11"/>
  <c r="I15"/>
  <c r="I7" i="21"/>
  <c r="I11"/>
  <c r="I15"/>
  <c r="K24" i="58"/>
  <c r="I5" i="54"/>
  <c r="I6" i="60"/>
  <c r="I10"/>
  <c r="I14"/>
  <c r="I6" i="53"/>
  <c r="I10"/>
  <c r="I14"/>
  <c r="I6" i="21"/>
  <c r="I10"/>
  <c r="I14"/>
  <c r="E7" i="53"/>
  <c r="E11"/>
  <c r="E15"/>
  <c r="E6"/>
  <c r="E10"/>
  <c r="E14"/>
  <c r="E9"/>
  <c r="E13"/>
  <c r="E5"/>
  <c r="E8"/>
  <c r="E12"/>
  <c r="E16"/>
  <c r="E7" i="21"/>
  <c r="E11"/>
  <c r="E15"/>
  <c r="E6"/>
  <c r="E10"/>
  <c r="E14"/>
  <c r="E9"/>
  <c r="E13"/>
  <c r="E5"/>
  <c r="E8"/>
  <c r="E12"/>
  <c r="E16"/>
  <c r="G7" i="53"/>
  <c r="G11"/>
  <c r="G15"/>
  <c r="G6"/>
  <c r="G10"/>
  <c r="G14"/>
  <c r="G9"/>
  <c r="G13"/>
  <c r="G5"/>
  <c r="G8"/>
  <c r="G12"/>
  <c r="G16"/>
  <c r="J28" i="58"/>
  <c r="F7" i="53"/>
  <c r="F11"/>
  <c r="F15"/>
  <c r="F6"/>
  <c r="F10"/>
  <c r="F14"/>
  <c r="F9"/>
  <c r="F13"/>
  <c r="F5"/>
  <c r="F8"/>
  <c r="F12"/>
  <c r="F16"/>
  <c r="G6" i="21"/>
  <c r="G10"/>
  <c r="G14"/>
  <c r="G9"/>
  <c r="G13"/>
  <c r="G5"/>
  <c r="G8"/>
  <c r="G12"/>
  <c r="G16"/>
  <c r="G7"/>
  <c r="G11"/>
  <c r="G15"/>
  <c r="F7"/>
  <c r="F11"/>
  <c r="F15"/>
  <c r="F6"/>
  <c r="F10"/>
  <c r="F14"/>
  <c r="F9"/>
  <c r="F13"/>
  <c r="F5"/>
  <c r="F8"/>
  <c r="F12"/>
  <c r="F16"/>
  <c r="C12" i="55"/>
  <c r="G14"/>
  <c r="C10"/>
  <c r="G11"/>
  <c r="G9"/>
  <c r="B16"/>
  <c r="G7"/>
  <c r="F9"/>
  <c r="F14"/>
  <c r="G16"/>
  <c r="G10"/>
  <c r="G6"/>
  <c r="E9"/>
  <c r="C11"/>
  <c r="E13"/>
  <c r="C14" i="57"/>
  <c r="C9"/>
  <c r="B7"/>
  <c r="G7"/>
  <c r="G8"/>
  <c r="E11"/>
  <c r="E13"/>
  <c r="C15"/>
  <c r="B16"/>
  <c r="G16"/>
  <c r="E16"/>
  <c r="G14"/>
  <c r="C10"/>
  <c r="C6"/>
  <c r="C13"/>
  <c r="G9"/>
  <c r="B10"/>
  <c r="E8"/>
  <c r="E17" s="1"/>
  <c r="G15"/>
  <c r="F10" i="54"/>
  <c r="J24" i="58"/>
  <c r="D7" i="59" s="1"/>
  <c r="G10" i="54"/>
  <c r="G13"/>
  <c r="G11"/>
  <c r="F11"/>
  <c r="G15"/>
  <c r="E9"/>
  <c r="E16"/>
  <c r="G8"/>
  <c r="E12"/>
  <c r="F15"/>
  <c r="F16"/>
  <c r="E15"/>
  <c r="F13"/>
  <c r="G14"/>
  <c r="G9"/>
  <c r="G12"/>
  <c r="F6"/>
  <c r="F7"/>
  <c r="G16"/>
  <c r="E11"/>
  <c r="G6"/>
  <c r="F12"/>
  <c r="F14"/>
  <c r="E7"/>
  <c r="E13"/>
  <c r="G7"/>
  <c r="E10"/>
  <c r="E14"/>
  <c r="C17"/>
  <c r="I14"/>
  <c r="E49" i="4"/>
  <c r="C49"/>
  <c r="I49"/>
  <c r="D49" s="1"/>
  <c r="I11" i="57"/>
  <c r="E10" i="62"/>
  <c r="E14"/>
  <c r="E18"/>
  <c r="E9"/>
  <c r="E13"/>
  <c r="E17"/>
  <c r="E12"/>
  <c r="E16"/>
  <c r="E8"/>
  <c r="E11"/>
  <c r="E15"/>
  <c r="E19"/>
  <c r="C10"/>
  <c r="D10" s="1"/>
  <c r="C14"/>
  <c r="D14" s="1"/>
  <c r="C18"/>
  <c r="D18" s="1"/>
  <c r="C9"/>
  <c r="D9" s="1"/>
  <c r="C13"/>
  <c r="D13" s="1"/>
  <c r="C17"/>
  <c r="C12"/>
  <c r="D12" s="1"/>
  <c r="C16"/>
  <c r="D16" s="1"/>
  <c r="C8"/>
  <c r="C11"/>
  <c r="D11" s="1"/>
  <c r="C15"/>
  <c r="D15" s="1"/>
  <c r="C19"/>
  <c r="D19" s="1"/>
  <c r="I12" i="54"/>
  <c r="K28" i="58"/>
  <c r="H9" i="59" s="1"/>
  <c r="K26" i="58"/>
  <c r="H6" i="59" s="1"/>
  <c r="E14" i="55"/>
  <c r="E16"/>
  <c r="D12"/>
  <c r="F16"/>
  <c r="F6"/>
  <c r="E8"/>
  <c r="F11"/>
  <c r="F13"/>
  <c r="E15"/>
  <c r="I10"/>
  <c r="C9"/>
  <c r="B14"/>
  <c r="D14"/>
  <c r="B8"/>
  <c r="C7"/>
  <c r="C6"/>
  <c r="B7"/>
  <c r="C8"/>
  <c r="B9"/>
  <c r="E10"/>
  <c r="D11"/>
  <c r="C14"/>
  <c r="C15"/>
  <c r="G15"/>
  <c r="G17" s="1"/>
  <c r="C16"/>
  <c r="I6"/>
  <c r="B13"/>
  <c r="D9"/>
  <c r="B11"/>
  <c r="B12"/>
  <c r="D13"/>
  <c r="D10"/>
  <c r="D7"/>
  <c r="D8"/>
  <c r="D15"/>
  <c r="I10" i="54"/>
  <c r="I6" i="57"/>
  <c r="I15" i="55"/>
  <c r="I8" i="54"/>
  <c r="I15" i="57"/>
  <c r="I7"/>
  <c r="I14"/>
  <c r="I12" i="55"/>
  <c r="I11"/>
  <c r="I10" i="57"/>
  <c r="I13" i="55"/>
  <c r="I9" i="57"/>
  <c r="D8" i="59"/>
  <c r="F49" i="4"/>
  <c r="D3" i="47" s="1"/>
  <c r="I8" i="55"/>
  <c r="I9"/>
  <c r="I13" i="57"/>
  <c r="D6" i="47"/>
  <c r="L14" s="1"/>
  <c r="I16" i="55"/>
  <c r="I7"/>
  <c r="C6" i="47"/>
  <c r="K21" s="1"/>
  <c r="I15" i="54"/>
  <c r="I7"/>
  <c r="G16" i="3"/>
  <c r="G15"/>
  <c r="G23"/>
  <c r="G21"/>
  <c r="G20"/>
  <c r="G12"/>
  <c r="G18"/>
  <c r="G13"/>
  <c r="G22"/>
  <c r="G19"/>
  <c r="G17"/>
  <c r="G14"/>
  <c r="C5" i="47"/>
  <c r="I14" s="1"/>
  <c r="D5"/>
  <c r="J17" s="1"/>
  <c r="D17" i="62"/>
  <c r="I6" i="54"/>
  <c r="D9" i="59"/>
  <c r="E16" i="3"/>
  <c r="E20"/>
  <c r="E19"/>
  <c r="E23"/>
  <c r="E18"/>
  <c r="E17"/>
  <c r="E15"/>
  <c r="E14"/>
  <c r="E22"/>
  <c r="E21"/>
  <c r="E13"/>
  <c r="I14" i="55"/>
  <c r="I8" i="57"/>
  <c r="I12"/>
  <c r="I16"/>
  <c r="I16" i="54"/>
  <c r="I11"/>
  <c r="C13" i="3"/>
  <c r="C16"/>
  <c r="C20"/>
  <c r="C19"/>
  <c r="C18"/>
  <c r="C21"/>
  <c r="C15"/>
  <c r="C23"/>
  <c r="C14"/>
  <c r="C17"/>
  <c r="C22"/>
  <c r="N15" i="47"/>
  <c r="N19"/>
  <c r="N11"/>
  <c r="N14"/>
  <c r="N18"/>
  <c r="N22"/>
  <c r="N13"/>
  <c r="N17"/>
  <c r="N21"/>
  <c r="N12"/>
  <c r="N16"/>
  <c r="N20"/>
  <c r="H15" i="3"/>
  <c r="H19"/>
  <c r="H23"/>
  <c r="H14"/>
  <c r="H18"/>
  <c r="H22"/>
  <c r="H17"/>
  <c r="H21"/>
  <c r="H20"/>
  <c r="H13"/>
  <c r="H12"/>
  <c r="H16"/>
  <c r="D6" i="59"/>
  <c r="F23" i="3"/>
  <c r="F14"/>
  <c r="F18"/>
  <c r="F22"/>
  <c r="F13"/>
  <c r="F21"/>
  <c r="F20"/>
  <c r="F15"/>
  <c r="F17"/>
  <c r="F16"/>
  <c r="F19"/>
  <c r="D4" i="47"/>
  <c r="I13" i="54"/>
  <c r="I9"/>
  <c r="F17" i="57"/>
  <c r="G17"/>
  <c r="D17"/>
  <c r="M25" i="47"/>
  <c r="C9" i="59" s="1"/>
  <c r="C17" i="57" l="1"/>
  <c r="F11" i="47"/>
  <c r="D12" i="3"/>
  <c r="H7" i="59"/>
  <c r="H4"/>
  <c r="H5"/>
  <c r="C3" i="47"/>
  <c r="G15" s="1"/>
  <c r="B17" i="57"/>
  <c r="D17" i="60"/>
  <c r="D17" i="54"/>
  <c r="G17"/>
  <c r="G17" i="60"/>
  <c r="C17"/>
  <c r="B17"/>
  <c r="B17" i="54"/>
  <c r="E17"/>
  <c r="F17"/>
  <c r="E17" i="60"/>
  <c r="F17"/>
  <c r="D17" i="53"/>
  <c r="F17"/>
  <c r="B17"/>
  <c r="E17"/>
  <c r="G17"/>
  <c r="C17"/>
  <c r="F17" i="21"/>
  <c r="D17"/>
  <c r="E17"/>
  <c r="C17"/>
  <c r="G17"/>
  <c r="B17"/>
  <c r="I18" i="47"/>
  <c r="L18"/>
  <c r="K22"/>
  <c r="K11"/>
  <c r="C17" i="55"/>
  <c r="I22" i="47"/>
  <c r="K14"/>
  <c r="J16"/>
  <c r="K13"/>
  <c r="E8" i="59"/>
  <c r="C21" i="62"/>
  <c r="I5" i="43" s="1"/>
  <c r="H12" i="47"/>
  <c r="H16"/>
  <c r="H20"/>
  <c r="H15"/>
  <c r="H19"/>
  <c r="H11"/>
  <c r="H14"/>
  <c r="H18"/>
  <c r="H22"/>
  <c r="H13"/>
  <c r="H17"/>
  <c r="H21"/>
  <c r="F17" i="55"/>
  <c r="E17"/>
  <c r="B17"/>
  <c r="D17"/>
  <c r="J19" i="47"/>
  <c r="L12"/>
  <c r="I20"/>
  <c r="L21"/>
  <c r="I17" i="53"/>
  <c r="I5" i="59" s="1"/>
  <c r="I19" i="47"/>
  <c r="J14"/>
  <c r="L19"/>
  <c r="J15"/>
  <c r="I21"/>
  <c r="L13"/>
  <c r="L17"/>
  <c r="E21" i="62"/>
  <c r="J5" i="63" s="1"/>
  <c r="D20" i="47"/>
  <c r="D12"/>
  <c r="D11"/>
  <c r="D18"/>
  <c r="D15"/>
  <c r="D19"/>
  <c r="D16"/>
  <c r="D13"/>
  <c r="D21"/>
  <c r="D14"/>
  <c r="I13"/>
  <c r="L15"/>
  <c r="K12"/>
  <c r="L22"/>
  <c r="I12"/>
  <c r="I17"/>
  <c r="J22"/>
  <c r="K18"/>
  <c r="K19"/>
  <c r="K20"/>
  <c r="K17"/>
  <c r="D17"/>
  <c r="D22"/>
  <c r="J11"/>
  <c r="I15"/>
  <c r="J20"/>
  <c r="J13"/>
  <c r="J18"/>
  <c r="I17" i="55"/>
  <c r="I9" i="59" s="1"/>
  <c r="I11" i="47"/>
  <c r="I16"/>
  <c r="J21"/>
  <c r="J12"/>
  <c r="K15"/>
  <c r="K16"/>
  <c r="G25" i="3"/>
  <c r="F10" i="43" s="1"/>
  <c r="I17" i="57"/>
  <c r="I8" i="59" s="1"/>
  <c r="D8" i="62"/>
  <c r="D21" s="1"/>
  <c r="J7" i="63" s="1"/>
  <c r="I17" i="21"/>
  <c r="I4" i="59" s="1"/>
  <c r="D4"/>
  <c r="L11" i="47"/>
  <c r="L20"/>
  <c r="L16"/>
  <c r="N25"/>
  <c r="G9" i="59" s="1"/>
  <c r="D15" i="3"/>
  <c r="D19"/>
  <c r="D23"/>
  <c r="D14"/>
  <c r="D18"/>
  <c r="D22"/>
  <c r="D13"/>
  <c r="D17"/>
  <c r="D21"/>
  <c r="D16"/>
  <c r="D20"/>
  <c r="I17" i="54"/>
  <c r="I7" i="59" s="1"/>
  <c r="D5"/>
  <c r="H25" i="3"/>
  <c r="G9" i="63" s="1"/>
  <c r="K9" s="1"/>
  <c r="F19" i="47"/>
  <c r="C4"/>
  <c r="E11" s="1"/>
  <c r="I17" i="60"/>
  <c r="I6" i="59" s="1"/>
  <c r="F25" i="3"/>
  <c r="G4" i="63" s="1"/>
  <c r="K4" s="1"/>
  <c r="C25" i="3"/>
  <c r="G6" i="63" s="1"/>
  <c r="K6" s="1"/>
  <c r="E25" i="3"/>
  <c r="C13" i="47" l="1"/>
  <c r="G11"/>
  <c r="C22"/>
  <c r="C18"/>
  <c r="C14"/>
  <c r="C20"/>
  <c r="C17"/>
  <c r="C11"/>
  <c r="C21"/>
  <c r="C15"/>
  <c r="C12"/>
  <c r="C19"/>
  <c r="C16"/>
  <c r="E7" i="59"/>
  <c r="G22" i="47"/>
  <c r="G12"/>
  <c r="G21"/>
  <c r="G14"/>
  <c r="G18"/>
  <c r="E5" i="59"/>
  <c r="G20" i="47"/>
  <c r="G17"/>
  <c r="G16"/>
  <c r="G13"/>
  <c r="G19"/>
  <c r="E4" i="59"/>
  <c r="E6"/>
  <c r="E9"/>
  <c r="F9" s="1"/>
  <c r="G10" i="43" s="1"/>
  <c r="E17" i="47"/>
  <c r="D24"/>
  <c r="G4" i="59" s="1"/>
  <c r="J4" s="1"/>
  <c r="G8" i="63"/>
  <c r="K8" s="1"/>
  <c r="J9" i="59"/>
  <c r="I8" i="63" s="1"/>
  <c r="I7" i="43"/>
  <c r="K24" i="47"/>
  <c r="C8" i="59" s="1"/>
  <c r="F8" s="1"/>
  <c r="I24" i="47"/>
  <c r="C7" i="59" s="1"/>
  <c r="F7" s="1"/>
  <c r="J6" i="63"/>
  <c r="H24" i="47"/>
  <c r="G6" i="59" s="1"/>
  <c r="J6" s="1"/>
  <c r="H7" i="43" s="1"/>
  <c r="I6"/>
  <c r="E18" i="47"/>
  <c r="D25" i="3"/>
  <c r="F6" i="43" s="1"/>
  <c r="E20" i="47"/>
  <c r="E15"/>
  <c r="E22"/>
  <c r="E21"/>
  <c r="E16"/>
  <c r="E13"/>
  <c r="F20"/>
  <c r="F18"/>
  <c r="E19"/>
  <c r="E14"/>
  <c r="E12"/>
  <c r="F13"/>
  <c r="F22"/>
  <c r="F16"/>
  <c r="F17"/>
  <c r="F14"/>
  <c r="F15"/>
  <c r="F12"/>
  <c r="F21"/>
  <c r="J24"/>
  <c r="G7" i="59" s="1"/>
  <c r="L24" i="47"/>
  <c r="G8" i="59" s="1"/>
  <c r="F5" i="43"/>
  <c r="F9"/>
  <c r="F8"/>
  <c r="F7"/>
  <c r="G5" i="63"/>
  <c r="K5" s="1"/>
  <c r="J7" i="59" l="1"/>
  <c r="H8" i="43" s="1"/>
  <c r="J8" i="59"/>
  <c r="I9" i="63" s="1"/>
  <c r="H8"/>
  <c r="H9"/>
  <c r="H4"/>
  <c r="C24" i="47"/>
  <c r="C4" i="59" s="1"/>
  <c r="F4" s="1"/>
  <c r="I6" i="63"/>
  <c r="G24" i="47"/>
  <c r="C6" i="59" s="1"/>
  <c r="F6" s="1"/>
  <c r="G8" i="43"/>
  <c r="H10"/>
  <c r="G9"/>
  <c r="I5" i="63"/>
  <c r="G7"/>
  <c r="K7" s="1"/>
  <c r="F24" i="47"/>
  <c r="G5" i="59" s="1"/>
  <c r="J5" s="1"/>
  <c r="I7" i="63" s="1"/>
  <c r="E24" i="47"/>
  <c r="C5" i="59" s="1"/>
  <c r="I4" i="63"/>
  <c r="H9" i="43" l="1"/>
  <c r="G7"/>
  <c r="F5" i="59"/>
  <c r="H7" i="63" s="1"/>
  <c r="H5" i="43"/>
  <c r="H6"/>
  <c r="G5" l="1"/>
  <c r="G6"/>
  <c r="H6" i="63"/>
  <c r="H5"/>
</calcChain>
</file>

<file path=xl/sharedStrings.xml><?xml version="1.0" encoding="utf-8"?>
<sst xmlns="http://schemas.openxmlformats.org/spreadsheetml/2006/main" count="8801" uniqueCount="2552">
  <si>
    <t>GAS</t>
  </si>
  <si>
    <t>Selling Price</t>
  </si>
  <si>
    <t>Incremental Price</t>
  </si>
  <si>
    <t>E85</t>
  </si>
  <si>
    <t>GAS HEV</t>
  </si>
  <si>
    <t>CNG</t>
  </si>
  <si>
    <t>EV</t>
  </si>
  <si>
    <t>PHEV</t>
  </si>
  <si>
    <t>*</t>
  </si>
  <si>
    <t>CombinedMPG</t>
  </si>
  <si>
    <t>CombinedMPG2</t>
  </si>
  <si>
    <t>MPG</t>
  </si>
  <si>
    <t>Gas Costs</t>
  </si>
  <si>
    <t>Years</t>
  </si>
  <si>
    <t>VOC</t>
  </si>
  <si>
    <t>NOX</t>
  </si>
  <si>
    <t>PM2.5</t>
  </si>
  <si>
    <t>SO2</t>
  </si>
  <si>
    <t>PM10</t>
  </si>
  <si>
    <t>CO</t>
  </si>
  <si>
    <t>Gasoline Vehicle: CG and RFG</t>
  </si>
  <si>
    <t>Btu/mile or grams/mile</t>
  </si>
  <si>
    <t>Item</t>
  </si>
  <si>
    <t>Feedstock</t>
  </si>
  <si>
    <t>Fuel</t>
  </si>
  <si>
    <t>Vehicle Operation</t>
  </si>
  <si>
    <t>Total</t>
  </si>
  <si>
    <t xml:space="preserve">Total Energy </t>
  </si>
  <si>
    <t>Fossil Fuels</t>
  </si>
  <si>
    <t>Coal</t>
  </si>
  <si>
    <t>Natural Gas</t>
  </si>
  <si>
    <t>Petroleum</t>
  </si>
  <si>
    <t>CO2</t>
  </si>
  <si>
    <t>CH4</t>
  </si>
  <si>
    <t>N2O</t>
  </si>
  <si>
    <t>GHGs</t>
  </si>
  <si>
    <t>VOC: Total</t>
  </si>
  <si>
    <t>CO: Total</t>
  </si>
  <si>
    <t>NOx: Total</t>
  </si>
  <si>
    <t>PM10: Total</t>
  </si>
  <si>
    <t>PM2.5: Total</t>
  </si>
  <si>
    <t>SOx: Total</t>
  </si>
  <si>
    <t>VOC: Urban</t>
  </si>
  <si>
    <t>CO: Urban</t>
  </si>
  <si>
    <t>NOx: Urban</t>
  </si>
  <si>
    <t>PM10: Urban</t>
  </si>
  <si>
    <t>PM2.5: Urban</t>
  </si>
  <si>
    <t>SOx: Urban</t>
  </si>
  <si>
    <t>GHG</t>
  </si>
  <si>
    <t>Conventional Vehicle</t>
  </si>
  <si>
    <t>CNG Vehicle</t>
  </si>
  <si>
    <t>Electric Vehicle</t>
  </si>
  <si>
    <t>2) Summary of Energy Consumption and Emissions of Vehicle Cycles: Btu or grams per mile</t>
  </si>
  <si>
    <t>ICEV: Conventional Material</t>
  </si>
  <si>
    <t>ICEV: Light-weight Material</t>
  </si>
  <si>
    <t>HEV: Conventional Material</t>
  </si>
  <si>
    <t>HEV: Light-weight Material</t>
  </si>
  <si>
    <t>FCV: Conventional Material</t>
  </si>
  <si>
    <t>FCV: Light-weight Material</t>
  </si>
  <si>
    <t>Lifetime VMT</t>
  </si>
  <si>
    <t>Total energy</t>
  </si>
  <si>
    <t>Fossil fuels</t>
  </si>
  <si>
    <t>Natural gas</t>
  </si>
  <si>
    <t>CO2 (VOC, CO, CO2)</t>
  </si>
  <si>
    <t>Energy Use and Emissions of Vehicle Cycle</t>
  </si>
  <si>
    <t>1) Summary of Energy Consumption and Emissions: mmBtu or grams per-vehicle lifetime</t>
  </si>
  <si>
    <t>1.1) ICEV: Conventional Material</t>
  </si>
  <si>
    <t>mmBtu or grams per vehicle lifetime</t>
  </si>
  <si>
    <t>Percentage of each stage</t>
  </si>
  <si>
    <r>
      <t>C</t>
    </r>
    <r>
      <rPr>
        <b/>
        <sz val="8"/>
        <rFont val="Arial"/>
        <family val="2"/>
      </rPr>
      <t>omponents</t>
    </r>
  </si>
  <si>
    <t>ADR</t>
  </si>
  <si>
    <t>Batteries</t>
  </si>
  <si>
    <t>Fluids</t>
  </si>
  <si>
    <t>1.2) ICEV: Light-weight Material</t>
  </si>
  <si>
    <t>1.3) HEV: Conventional Material</t>
  </si>
  <si>
    <t>1.4) HEV: Light-weight Material</t>
  </si>
  <si>
    <t>1.5) FCV: Conventional Material</t>
  </si>
  <si>
    <t>1.6) FCV: Light-weight Material</t>
  </si>
  <si>
    <t>CO2 (w/ C in VOC &amp; CO)</t>
  </si>
  <si>
    <t>Gasoline Vehicle: Low-Level EtOH Blend with Gasoline</t>
  </si>
  <si>
    <t>CIDI Vehicle: Conventional and LS Diesel</t>
  </si>
  <si>
    <t>CIDI Vehicle: E-Diesel</t>
  </si>
  <si>
    <t>Grid-Independent SI HEV: CG and RFG</t>
  </si>
  <si>
    <t>FCV: G.H2</t>
  </si>
  <si>
    <t>EtOH FFV: E85, Corn</t>
  </si>
  <si>
    <t>Dedicated CNGV, NA NG</t>
  </si>
  <si>
    <t>Vehicle Technologies, Passenger Cars: Well-to-Wheel Energy Consumption and Emissions (per Mile)</t>
  </si>
  <si>
    <t>Gasoline</t>
  </si>
  <si>
    <t>TOTAL</t>
  </si>
  <si>
    <t>Ethanol (E85)</t>
  </si>
  <si>
    <t>Ethanol Vehicle</t>
  </si>
  <si>
    <t>E85 ethanol</t>
  </si>
  <si>
    <t xml:space="preserve">Sources: </t>
  </si>
  <si>
    <t>http://www.afdc.energy.gov/afdc/pdfs/afpr_jan_12.pdf</t>
  </si>
  <si>
    <t>Gasoline-Biodiesel</t>
  </si>
  <si>
    <t>Total Lifetime Costs ($2010)</t>
  </si>
  <si>
    <t>Key Assumptions</t>
  </si>
  <si>
    <t>http://205.254.135.7/electricity/monthly/epm_table_grapher.cfm?t=epmt_5_3</t>
  </si>
  <si>
    <t xml:space="preserve">Electricity </t>
  </si>
  <si>
    <t>Mi/kWh</t>
  </si>
  <si>
    <t>NOx</t>
  </si>
  <si>
    <t>Charging Efficiency</t>
  </si>
  <si>
    <t>Year</t>
  </si>
  <si>
    <t>NPV</t>
  </si>
  <si>
    <t>Real Discount Rate (fuel)</t>
  </si>
  <si>
    <t>Lifetime miles</t>
  </si>
  <si>
    <t>Lifetime (years)</t>
  </si>
  <si>
    <t>Battery Electric Vehicle</t>
  </si>
  <si>
    <t>&lt;--do not change</t>
  </si>
  <si>
    <t>http://www.gsa.gov/portal/content/104235</t>
  </si>
  <si>
    <t>Private Costs</t>
  </si>
  <si>
    <t>Conventional Gasoline</t>
  </si>
  <si>
    <t>Compressed Natural Gas</t>
  </si>
  <si>
    <t>Hybrid Electric Vehicle</t>
  </si>
  <si>
    <t>Hydrogen Fuel Cell</t>
  </si>
  <si>
    <t>Hybrid Electric</t>
  </si>
  <si>
    <t>Electric</t>
  </si>
  <si>
    <t>Fuel Costs</t>
  </si>
  <si>
    <t>Table 3.11A</t>
  </si>
  <si>
    <t>External Costs</t>
  </si>
  <si>
    <t>Vehicle Type</t>
  </si>
  <si>
    <t>Social Costs of Transportation Use</t>
  </si>
  <si>
    <t>Vehicle Base Price</t>
  </si>
  <si>
    <t>Hydrogen</t>
  </si>
  <si>
    <t>Retail ($2010)</t>
  </si>
  <si>
    <t>HEV</t>
  </si>
  <si>
    <t>Implicit Price Deflator</t>
  </si>
  <si>
    <t>(2000 = 1.00000)</t>
  </si>
  <si>
    <t>http://www.eia.doe.gov/aer/append_d.html</t>
  </si>
  <si>
    <t>USD_1949</t>
  </si>
  <si>
    <t>USD_1950</t>
  </si>
  <si>
    <t>USD_1951</t>
  </si>
  <si>
    <t>USD_1952</t>
  </si>
  <si>
    <t>USD_1953</t>
  </si>
  <si>
    <t>USD_1954</t>
  </si>
  <si>
    <t>USD_1955</t>
  </si>
  <si>
    <t>USD_1956</t>
  </si>
  <si>
    <t>USD_1957</t>
  </si>
  <si>
    <t>USD_1958</t>
  </si>
  <si>
    <t>USD_1959</t>
  </si>
  <si>
    <t>USD_1960</t>
  </si>
  <si>
    <t>USD_1961</t>
  </si>
  <si>
    <t>USD_1962</t>
  </si>
  <si>
    <t>USD_1963</t>
  </si>
  <si>
    <t>USD_1964</t>
  </si>
  <si>
    <t>USD_1965</t>
  </si>
  <si>
    <t>USD_1966</t>
  </si>
  <si>
    <t>USD_1967</t>
  </si>
  <si>
    <t>USD_1968</t>
  </si>
  <si>
    <t>USD_1969</t>
  </si>
  <si>
    <t>USD_1970</t>
  </si>
  <si>
    <t>USD_1971</t>
  </si>
  <si>
    <t>USD_1972</t>
  </si>
  <si>
    <t>USD_1973</t>
  </si>
  <si>
    <t>USD_1974</t>
  </si>
  <si>
    <t>USD_1975</t>
  </si>
  <si>
    <t>USD_1976</t>
  </si>
  <si>
    <t>USD_1977</t>
  </si>
  <si>
    <t>USD_1978</t>
  </si>
  <si>
    <t>USD_1979</t>
  </si>
  <si>
    <t>USD_1980</t>
  </si>
  <si>
    <t>USD_1981</t>
  </si>
  <si>
    <t>USD_1982</t>
  </si>
  <si>
    <t>USD_1983</t>
  </si>
  <si>
    <t>USD_1984</t>
  </si>
  <si>
    <t>USD_1985</t>
  </si>
  <si>
    <t>USD_1986</t>
  </si>
  <si>
    <t>USD_1987</t>
  </si>
  <si>
    <t>USD_1988</t>
  </si>
  <si>
    <t>USD_1989</t>
  </si>
  <si>
    <t>USD_1990</t>
  </si>
  <si>
    <t>USD_1991</t>
  </si>
  <si>
    <t>USD_1992</t>
  </si>
  <si>
    <t>USD_1993</t>
  </si>
  <si>
    <t>USD_1994</t>
  </si>
  <si>
    <t>USD_1995</t>
  </si>
  <si>
    <t>USD_1996</t>
  </si>
  <si>
    <t>USD_1997</t>
  </si>
  <si>
    <t>USD_1998</t>
  </si>
  <si>
    <t>USD_1999</t>
  </si>
  <si>
    <t>USD_2000</t>
  </si>
  <si>
    <t>USD_2001</t>
  </si>
  <si>
    <t>USD_2002</t>
  </si>
  <si>
    <t>USD_2003</t>
  </si>
  <si>
    <t>USD_2004</t>
  </si>
  <si>
    <t>USD_2005</t>
  </si>
  <si>
    <t>USD_2006</t>
  </si>
  <si>
    <t>USD_2007a</t>
  </si>
  <si>
    <t>http://www.eia.doe.gov/oiaf/aeo/aeoref_tab.html</t>
  </si>
  <si>
    <t>USD_2007</t>
  </si>
  <si>
    <t>USD_2008</t>
  </si>
  <si>
    <t>USD_2009</t>
  </si>
  <si>
    <t>USD_2010</t>
  </si>
  <si>
    <t>USD_2011</t>
  </si>
  <si>
    <t>USD_2012</t>
  </si>
  <si>
    <t>USD_2013</t>
  </si>
  <si>
    <t>USD_2014</t>
  </si>
  <si>
    <t>USD_2015</t>
  </si>
  <si>
    <t>USD_2016</t>
  </si>
  <si>
    <t>USD_2017</t>
  </si>
  <si>
    <t>USD_2018</t>
  </si>
  <si>
    <t>USD_2019</t>
  </si>
  <si>
    <t>USD_2020</t>
  </si>
  <si>
    <t>USD_2021</t>
  </si>
  <si>
    <t>USD_2022</t>
  </si>
  <si>
    <t>USD_2023</t>
  </si>
  <si>
    <t>USD_2024</t>
  </si>
  <si>
    <t>USD_2025</t>
  </si>
  <si>
    <t>USD_2026</t>
  </si>
  <si>
    <t>USD_2027</t>
  </si>
  <si>
    <t>USD_2028</t>
  </si>
  <si>
    <t>USD_2029</t>
  </si>
  <si>
    <t>USD_2030</t>
  </si>
  <si>
    <t>USD_2031</t>
  </si>
  <si>
    <t>USD_2032</t>
  </si>
  <si>
    <t>USD_2033</t>
  </si>
  <si>
    <t>USD_2034</t>
  </si>
  <si>
    <t>USD_2035</t>
  </si>
  <si>
    <t>NH3</t>
  </si>
  <si>
    <t>Ethanol</t>
  </si>
  <si>
    <t>$/gal</t>
  </si>
  <si>
    <t xml:space="preserve">Hydrogen </t>
  </si>
  <si>
    <t>Transportation Cost Data (per VMT)</t>
  </si>
  <si>
    <r>
      <t xml:space="preserve">(all costs in ¢2007/VMT, m = median, </t>
    </r>
    <r>
      <rPr>
        <sz val="11"/>
        <color indexed="9"/>
        <rFont val="Calibri"/>
        <family val="2"/>
      </rPr>
      <t>μ</t>
    </r>
    <r>
      <rPr>
        <sz val="11"/>
        <color indexed="9"/>
        <rFont val="Calibri"/>
        <family val="2"/>
      </rPr>
      <t xml:space="preserve"> = mean, μpop = population weighted mean, μadj = adjusted mean = μpop-operation + μ-feedstock + μ-fuel + μ-vehicle)</t>
    </r>
  </si>
  <si>
    <t>Light Duty Auto 2005</t>
  </si>
  <si>
    <t>Light Duty Auto 2030 (Default GREET MPG)</t>
  </si>
  <si>
    <t>Light Duty Auto 2030 (35 MPG)</t>
  </si>
  <si>
    <t>Light Duty Truck 1 2005</t>
  </si>
  <si>
    <t>Light Duty Truck 1 2030 (Default GREET MPG)</t>
  </si>
  <si>
    <t>Light Duty Truck 1 2030 (35 MPG)</t>
  </si>
  <si>
    <t>Light Duty Truck 2 2005</t>
  </si>
  <si>
    <t>Light Duty Truck 2 2030 (Default GREET MPG)</t>
  </si>
  <si>
    <t>Light Duty Truck 2 2030 (35 MPG)</t>
  </si>
  <si>
    <t xml:space="preserve">CG SI with Conventional Oil </t>
  </si>
  <si>
    <t>CG SI with Conventional Oil - Light Duty Auto - 2005 - NH3 Excluded - $6M Cost of Life - ¢2007</t>
  </si>
  <si>
    <t>CG SI with Conventional Oil - Light Duty Auto - 2030 - NH3 Excluded - $6M Cost of Life - ¢2007</t>
  </si>
  <si>
    <t>CG SI with Conventional Oil - Light Duty Auto - 2030 35 MPG - NH3 Excluded - $6M Cost of Life - ¢2007 - Results per Mile</t>
  </si>
  <si>
    <t>CG SI with Conventional Oil - Light Duty Truck 1 - 2005 - NH3 Excluded - $6M Cost of Life - ¢2007</t>
  </si>
  <si>
    <t>CG SI with Conventional Oil - Light Duty Truck 1 - 2030 - NH3 Excluded - $6M Cost of Life - ¢2007</t>
  </si>
  <si>
    <t>CG SI with Conventional Oil - Light Duty Truck 1 - 2030 35 MPG - NH3 Excluded - $6M Cost of Life - ¢2007 - Results per Mile</t>
  </si>
  <si>
    <t>CG SI with Conventional Oil - Light Duty Truck 2 - 2005 - NH3 Excluded - $6M Cost of Life - ¢2007</t>
  </si>
  <si>
    <t>CG SI with Conventional Oil - Light Duty Truck 2 - 2030 - NH3 Excluded - $6M Cost of Life - ¢2007</t>
  </si>
  <si>
    <t>CG SI with Conventional Oil - Light Duty Truck 2 - 2030 35 MPG - NH3 Excluded - $6M Cost of Life - ¢2007 - Results per Mile</t>
  </si>
  <si>
    <t>Operation</t>
  </si>
  <si>
    <t>Vehicle</t>
  </si>
  <si>
    <t>0.01 - 2.86 (m=0.10, µ=0.13, µpop=0.38)</t>
  </si>
  <si>
    <t>0.01 - 1.09 (m=0.06, µ=0.07)</t>
  </si>
  <si>
    <t>0.11 - 1.07 (m=0.27, µ=0.37)</t>
  </si>
  <si>
    <t>0.16 - 1.30 (m=0.50, µ=0.52)</t>
  </si>
  <si>
    <t>0.34 - 5.07 (m=0.99, µ=1.10, µadj=1.34)</t>
  </si>
  <si>
    <t>0.01 - 2.86 (m=0.07, µ=0.11, µpop=0.38)</t>
  </si>
  <si>
    <t>0.01 - 1.31 (m=0.07, µ=0.08)</t>
  </si>
  <si>
    <t>0.16 - 1.23 (m=0.31, µ=0.41)</t>
  </si>
  <si>
    <t>0.28 - 1.97 (m=0.65, µ=0.71)</t>
  </si>
  <si>
    <t>0.51 - 6.03 (m=1.13, µ=1.31, µadj=1.58)</t>
  </si>
  <si>
    <t>0.00 - 2.32 (m=0.06, µ=0.08, µpop=0.30)</t>
  </si>
  <si>
    <t>0.00 - 0.89 (m=0.05, µ=0.06)</t>
  </si>
  <si>
    <t>0.11 - 0.84 (m=0.21, µ=0.28)</t>
  </si>
  <si>
    <t>0.45 - 4.87 (m=0.99, µ=1.13, µadj=1.35)</t>
  </si>
  <si>
    <t>0.01 - 3.96 (m=0.16, µ=0.20, µpop=0.54)</t>
  </si>
  <si>
    <t>0.01 - 1.39 (m=0.08, µ=0.10)</t>
  </si>
  <si>
    <t>0.14 - 1.37 (m=0.35, µ=0.48)</t>
  </si>
  <si>
    <t>0.19 - 1.49 (m=0.60, µ=0.61)</t>
  </si>
  <si>
    <t>0.42 - 6.73 (m=1.26, µ=1.39, µadj=1.73)</t>
  </si>
  <si>
    <t>0.01 - 3.53 (m=0.09, µ=0.13, µpop=0.47)</t>
  </si>
  <si>
    <t>0.01 - 1.55 (m=0.08, µ=0.10)</t>
  </si>
  <si>
    <t>0.20 - 1.46 (m=0.37, µ=0.49)</t>
  </si>
  <si>
    <t>0.35 - 2.24 (m=0.78, µ=0.84)</t>
  </si>
  <si>
    <t>0.62 - 7.13 (m=1.35, µ=1.56, µadj=1.89)</t>
  </si>
  <si>
    <t>0.01 - 2.55 (m=0.06, µ=0.09, µpop=0.34)</t>
  </si>
  <si>
    <t>0.51 - 5.21 (m=1.12, µ=1.26, µadj=1.51)</t>
  </si>
  <si>
    <t>0.02 - 7.90 (m=0.31, µ=0.40, µpop=1.07)</t>
  </si>
  <si>
    <t>0.01 - 1.51 (m=0.09, µ=0.10)</t>
  </si>
  <si>
    <t>0.15 - 1.49 (m=0.38, µ=0.52)</t>
  </si>
  <si>
    <t>0.47 - 10.86 (m=1.49, µ=1.63, µadj=2.31)</t>
  </si>
  <si>
    <t>0.01 - 4.18 (m=0.11, µ=0.16, µpop=0.56)</t>
  </si>
  <si>
    <t>0.01 - 1.81 (m=0.10, µ=0.11)</t>
  </si>
  <si>
    <t>0.23 - 1.71 (m=0.43, µ=0.57)</t>
  </si>
  <si>
    <t>0.66 - 8.04 (m=1.45, µ=1.68, µadj=2.09)</t>
  </si>
  <si>
    <t>0.01 - 2.72 (m=0.07, µ=0.10, µpop=0.36)</t>
  </si>
  <si>
    <t>0.52 - 5.31 (m=1.13, µ=1.27, µadj=1.53)</t>
  </si>
  <si>
    <t>Mortality</t>
  </si>
  <si>
    <t>0.01 - 2.70 (m=0.09, µ=0.12, µpop=0.35)</t>
  </si>
  <si>
    <t>0.01 - 1.02 (m=0.06, µ=0.07)</t>
  </si>
  <si>
    <t>0.10 - 1.01 (m=0.25, µ=0.35)</t>
  </si>
  <si>
    <t>0.13 - 1.00 (m=0.36, µ=0.37)</t>
  </si>
  <si>
    <t>0.27 - 4.66 (m=0.80, µ=0.91, µadj=1.15)</t>
  </si>
  <si>
    <t>0.01 - 1.24 (m=0.06, µ=0.08)</t>
  </si>
  <si>
    <t>0.15 - 1.16 (m=0.29, µ=0.39)</t>
  </si>
  <si>
    <t>0.25 - 1.63 (m=0.50, µ=0.55)</t>
  </si>
  <si>
    <t>0.44 - 5.68 (m=0.94, µ=1.12, µadj=1.38)</t>
  </si>
  <si>
    <t>0.00 - 2.20 (m=0.05, µ=0.08, µpop=0.29)</t>
  </si>
  <si>
    <t>0.00 - 0.84 (m=0.04, µ=0.05)</t>
  </si>
  <si>
    <t>0.11 - 0.79 (m=0.20, µ=0.27)</t>
  </si>
  <si>
    <t>0.39 - 4.58 (m=0.81, µ=0.95, µadj=1.16)</t>
  </si>
  <si>
    <t>0.01 - 3.75 (m=0.14, µ=0.18, µpop=0.51)</t>
  </si>
  <si>
    <t>0.01 - 1.31 (m=0.08, µ=0.09)</t>
  </si>
  <si>
    <t>0.13 - 1.29 (m=0.33, µ=0.45)</t>
  </si>
  <si>
    <t>0.16 - 1.13 (m=0.42, µ=0.44)</t>
  </si>
  <si>
    <t>0.35 - 6.20 (m=1.01, µ=1.16, µadj=1.49)</t>
  </si>
  <si>
    <t>0.01 - 3.35 (m=0.09, µ=0.12, µpop=0.45)</t>
  </si>
  <si>
    <t>0.01 - 1.47 (m=0.08, µ=0.09)</t>
  </si>
  <si>
    <t>0.18 - 1.38 (m=0.35, µ=0.46)</t>
  </si>
  <si>
    <t>0.31 - 1.84 (m=0.60, µ=0.65)</t>
  </si>
  <si>
    <t>0.54 - 6.72 (m=1.12, µ=1.33, µadj=1.66)</t>
  </si>
  <si>
    <t>0.00 - 2.42 (m=0.06, µ=0.09, µpop=0.32)</t>
  </si>
  <si>
    <t>0.45 - 4.90 (m=0.91, µ=1.06, µadj=1.29)</t>
  </si>
  <si>
    <t>0.02 - 7.47 (m=0.27, µ=0.35, µpop=1.00)</t>
  </si>
  <si>
    <t>0.01 - 1.42 (m=0.08, µ=0.09)</t>
  </si>
  <si>
    <t>0.14 - 1.40 (m=0.35, µ=0.49)</t>
  </si>
  <si>
    <t>0.39 - 10.11 (m=1.21, µ=1.38, µadj=2.03)</t>
  </si>
  <si>
    <t>0.01 - 3.97 (m=0.10, µ=0.15, µpop=0.53)</t>
  </si>
  <si>
    <t>0.01 - 1.72 (m=0.09, µ=0.11)</t>
  </si>
  <si>
    <t>0.21 - 1.61 (m=0.40, µ=0.54)</t>
  </si>
  <si>
    <t>0.58 - 7.58 (m=1.22, µ=1.45, µadj=1.84)</t>
  </si>
  <si>
    <t>0.01 - 2.59 (m=0.06, µ=0.09, µpop=0.34)</t>
  </si>
  <si>
    <t>0.45 - 4.99 (m=0.91, µ=1.07, µadj=1.31)</t>
  </si>
  <si>
    <t>Morbidity</t>
  </si>
  <si>
    <t>0.00 - 0.14 (m=0.00, µ=0.00, µpop=0.02)</t>
  </si>
  <si>
    <t>0.00 - 0.06 (m=0.00, µ=0.00)</t>
  </si>
  <si>
    <t>0.01 - 0.06 (m=0.01, µ=0.02)</t>
  </si>
  <si>
    <t>0.01 - 0.18 (m=0.07, µ=0.08)</t>
  </si>
  <si>
    <t>0.02 - 0.31 (m=0.10, µ=0.10, µadj=0.11)</t>
  </si>
  <si>
    <t>0.00 - 0.07 (m=0.00, µ=0.00)</t>
  </si>
  <si>
    <t>0.01 - 0.21 (m=0.08, µ=0.09)</t>
  </si>
  <si>
    <t>0.02 - 0.32 (m=0.10, µ=0.11, µadj=0.12)</t>
  </si>
  <si>
    <t>0.00 - 0.11 (m=0.00, µ=0.00, µpop=0.01)</t>
  </si>
  <si>
    <t>0.00 - 0.04 (m=0.00, µ=0.00)</t>
  </si>
  <si>
    <t>0.01 - 0.04 (m=0.01, µ=0.01)</t>
  </si>
  <si>
    <t>0.02 - 0.27 (m=0.10, µ=0.10, µadj=0.11)</t>
  </si>
  <si>
    <t>0.00 - 0.20 (m=0.01, µ=0.01, µpop=0.02)</t>
  </si>
  <si>
    <t>0.00 - 0.08 (m=0.00, µ=0.00)</t>
  </si>
  <si>
    <t>0.01 - 0.07 (m=0.02, µ=0.02)</t>
  </si>
  <si>
    <t>0.01 - 0.21 (m=0.09, µ=0.09)</t>
  </si>
  <si>
    <t>0.02 - 0.41 (m=0.12, µ=0.12, µadj=0.14)</t>
  </si>
  <si>
    <t>0.00 - 0.17 (m=0.00, µ=0.01, µpop=0.02)</t>
  </si>
  <si>
    <t>0.01 - 0.25 (m=0.10, µ=0.10)</t>
  </si>
  <si>
    <t>0.03 - 0.38 (m=0.12, µ=0.13, µadj=0.15)</t>
  </si>
  <si>
    <t>0.00 - 0.12 (m=0.00, µ=0.00, µpop=0.01)</t>
  </si>
  <si>
    <t>0.02 - 0.30 (m=0.11, µ=0.12, µadj=0.13)</t>
  </si>
  <si>
    <t>0.00 - 0.40 (m=0.01, µ=0.01, µpop=0.05)</t>
  </si>
  <si>
    <t>0.01 - 0.08 (m=0.02, µ=0.02)</t>
  </si>
  <si>
    <t>0.02 - 0.62 (m=0.13, µ=0.13, µadj=0.17)</t>
  </si>
  <si>
    <t>0.00 - 0.20 (m=0.00, µ=0.01, µpop=0.02)</t>
  </si>
  <si>
    <t>0.00 - 0.09 (m=0.00, µ=0.00)</t>
  </si>
  <si>
    <t>0.01 - 0.08 (m=0.02, µ=0.03)</t>
  </si>
  <si>
    <t>0.03 - 0.43 (m=0.13, µ=0.14, µadj=0.16)</t>
  </si>
  <si>
    <t>0.00 - 0.13 (m=0.00, µ=0.00, µpop=0.02)</t>
  </si>
  <si>
    <t>0.02 - 0.31 (m=0.11, µ=0.12, µadj=0.13)</t>
  </si>
  <si>
    <t>Other</t>
  </si>
  <si>
    <t>0.00 - 0.08 (m=0.00, µ=0.01, µpop=0.01)</t>
  </si>
  <si>
    <t>0.00 - 0.03 (m=0.00, µ=0.00)</t>
  </si>
  <si>
    <t>0.00 - 0.01 (m=0.00, µ=0.00)</t>
  </si>
  <si>
    <t>0.00 - 0.13 (m=0.07, µ=0.07)</t>
  </si>
  <si>
    <t>0.01 - 0.19 (m=0.09, µ=0.08, µadj=0.08)</t>
  </si>
  <si>
    <t>0.00 - 0.02 (m=0.00, µ=0.00, µpop=0.00)</t>
  </si>
  <si>
    <t>0.00 - 0.02 (m=0.00, µ=0.00)</t>
  </si>
  <si>
    <t>0.00 - 0.15 (m=0.08, µ=0.08, µadj=0.08)</t>
  </si>
  <si>
    <t>0.00 - 0.00 (m=0.00, µ=0.00)</t>
  </si>
  <si>
    <t>0.00 - 0.14 (m=0.08, µ=0.07, µadj=0.07)</t>
  </si>
  <si>
    <t>0.00 - 0.14 (m=0.01, µ=0.01, µpop=0.01)</t>
  </si>
  <si>
    <t>0.00 - 0.01 (m=0.00, µ=0.01)</t>
  </si>
  <si>
    <t>0.00 - 0.15 (m=0.08, µ=0.08)</t>
  </si>
  <si>
    <t>0.01 - 0.27 (m=0.11, µ=0.10, µadj=0.10)</t>
  </si>
  <si>
    <t>0.00 - 0.03 (m=0.00, µ=0.00, µpop=0.00)</t>
  </si>
  <si>
    <t>0.00 - 0.16 (m=0.08, µ=0.08)</t>
  </si>
  <si>
    <t>0.01 - 0.18 (m=0.09, µ=0.09, µadj=0.09)</t>
  </si>
  <si>
    <t>0.00 - 0.17 (m=0.09, µ=0.09, µadj=0.09)</t>
  </si>
  <si>
    <t>0.00 - 0.28 (m=0.01, µ=0.03, µpop=0.02)</t>
  </si>
  <si>
    <t>0.00 - 0.05 (m=0.00, µ=0.00)</t>
  </si>
  <si>
    <t>0.01 - 0.41 (m=0.13, µ=0.12, µadj=0.11)</t>
  </si>
  <si>
    <t>0.00 - 0.04 (m=0.00, µ=0.00, µpop=0.00)</t>
  </si>
  <si>
    <t>0.01 - 0.18 (m=0.10, µ=0.09, µadj=0.09)</t>
  </si>
  <si>
    <t xml:space="preserve">CG SI with Tar Sands Oil </t>
  </si>
  <si>
    <t>CG SI with Tar Sands Oil - Light Duty Auto - 2005 - NH3 Excluded - $6M Cost of Life - ¢2007</t>
  </si>
  <si>
    <t>CG SI with Tar Sands Oil - Light Duty Auto - 2030 - NH3 Excluded - $6M Cost of Life - ¢2007</t>
  </si>
  <si>
    <t>CG SI with Tar Sands Oil - Light Duty Auto - 2030 35 MPG - NH3 Excluded - $6M Cost of Life - ¢2007 - Results per Mile</t>
  </si>
  <si>
    <t>CG SI with Tar Sands Oil - Light Duty Truck 1 - 2005 - NH3 Excluded - $6M Cost of Life - ¢2007</t>
  </si>
  <si>
    <t>CG SI with Tar Sands Oil - Light Duty Truck 1 - 2030 - NH3 Excluded - $6M Cost of Life - ¢2007</t>
  </si>
  <si>
    <t>CG SI with Tar Sands Oil - Light Duty Truck 1 - 2030 35 MPG - NH3 Excluded - $6M Cost of Life - ¢2007 - Results per Mile</t>
  </si>
  <si>
    <t>CG SI with Tar Sands Oil - Light Duty Truck 2 - 2005 - NH3 Excluded - $6M Cost of Life - ¢2007</t>
  </si>
  <si>
    <t>CG SI with Tar Sands Oil - Light Duty Truck 2 - 2030 - NH3 Excluded - $6M Cost of Life - ¢2007</t>
  </si>
  <si>
    <t>CG SI with Tar Sands Oil - Light Duty Truck 2 - 2030 35 MPG - NH3 Excluded - $6M Cost of Life - ¢2007 - Results per Mile</t>
  </si>
  <si>
    <t>0.01 - 1.33 (m=0.07, µ=0.09)</t>
  </si>
  <si>
    <t>0.34 - 5.36 (m=1.00, µ=1.11, µadj=1.35)</t>
  </si>
  <si>
    <t>0.01 - 1.49 (m=0.08, µ=0.09)</t>
  </si>
  <si>
    <t>0.17 - 1.23 (m=0.31, µ=0.41)</t>
  </si>
  <si>
    <t>0.52 - 6.22 (m=1.14, µ=1.32, µadj=1.60)</t>
  </si>
  <si>
    <t>0.00 - 1.02 (m=0.05, µ=0.06)</t>
  </si>
  <si>
    <t>0.45 - 4.99 (m=1.00, µ=1.14, µadj=1.36)</t>
  </si>
  <si>
    <t>0.01 - 1.70 (m=0.09, µ=0.11)</t>
  </si>
  <si>
    <t>0.43 - 7.10 (m=1.27, µ=1.40, µadj=1.74)</t>
  </si>
  <si>
    <t>0.01 - 1.77 (m=0.09, µ=0.11)</t>
  </si>
  <si>
    <t>0.63 - 7.35 (m=1.37, µ=1.57, µadj=1.91)</t>
  </si>
  <si>
    <t>0.52 - 5.34 (m=1.13, µ=1.27, µadj=1.52)</t>
  </si>
  <si>
    <t>0.01 - 1.85 (m=0.10, µ=0.12)</t>
  </si>
  <si>
    <t>0.47 - 11.26 (m=1.50, µ=1.65, µadj=2.32)</t>
  </si>
  <si>
    <t>0.01 - 2.07 (m=0.11, µ=0.13)</t>
  </si>
  <si>
    <t>0.67 - 8.30 (m=1.47, µ=1.70, µadj=2.10)</t>
  </si>
  <si>
    <t>0.52 - 5.43 (m=1.14, µ=1.28, µadj=1.54)</t>
  </si>
  <si>
    <t>0.01 - 1.25 (m=0.07, µ=0.08)</t>
  </si>
  <si>
    <t>0.28 - 4.94 (m=0.80, µ=0.92, µadj=1.16)</t>
  </si>
  <si>
    <t>0.01 - 1.41 (m=0.07, µ=0.09)</t>
  </si>
  <si>
    <t>0.45 - 5.86 (m=0.95, µ=1.13, µadj=1.39)</t>
  </si>
  <si>
    <t>0.00 - 0.96 (m=0.05, µ=0.06)</t>
  </si>
  <si>
    <t>0.39 - 4.70 (m=0.81, µ=0.96, µadj=1.17)</t>
  </si>
  <si>
    <t>0.01 - 1.60 (m=0.09, µ=0.10)</t>
  </si>
  <si>
    <t>0.35 - 6.56 (m=1.02, µ=1.17, µadj=1.50)</t>
  </si>
  <si>
    <t>0.01 - 1.68 (m=0.09, µ=0.10)</t>
  </si>
  <si>
    <t>0.54 - 6.92 (m=1.14, µ=1.35, µadj=1.67)</t>
  </si>
  <si>
    <t>0.45 - 5.02 (m=0.92, µ=1.07, µadj=1.30)</t>
  </si>
  <si>
    <t>0.01 - 1.74 (m=0.09, µ=0.11)</t>
  </si>
  <si>
    <t>0.14 - 1.40 (m=0.36, µ=0.49)</t>
  </si>
  <si>
    <t>0.39 - 10.49 (m=1.22, µ=1.40, µadj=2.05)</t>
  </si>
  <si>
    <t>0.01 - 1.96 (m=0.10, µ=0.12)</t>
  </si>
  <si>
    <t>0.21 - 1.62 (m=0.40, µ=0.54)</t>
  </si>
  <si>
    <t>0.58 - 7.82 (m=1.23, µ=1.47, µadj=1.85)</t>
  </si>
  <si>
    <t>0.45 - 5.11 (m=0.92, µ=1.07, µadj=1.32)</t>
  </si>
  <si>
    <t>0.02 - 0.33 (m=0.10, µ=0.10, µadj=0.11)</t>
  </si>
  <si>
    <t>0.02 - 0.33 (m=0.10, µ=0.11, µadj=0.12)</t>
  </si>
  <si>
    <t>0.02 - 0.28 (m=0.10, µ=0.10, µadj=0.11)</t>
  </si>
  <si>
    <t>0.02 - 0.43 (m=0.12, µ=0.13, µadj=0.14)</t>
  </si>
  <si>
    <t>0.03 - 0.40 (m=0.12, µ=0.13, µadj=0.15)</t>
  </si>
  <si>
    <t>0.00 - 0.10 (m=0.00, µ=0.00)</t>
  </si>
  <si>
    <t>0.02 - 0.64 (m=0.13, µ=0.14, µadj=0.17)</t>
  </si>
  <si>
    <t>0.00 - 0.10 (m=0.00, µ=0.01)</t>
  </si>
  <si>
    <t>0.03 - 0.45 (m=0.13, µ=0.14, µadj=0.16)</t>
  </si>
  <si>
    <t>0.01 - 0.19 (m=0.10, µ=0.09, µadj=0.09)</t>
  </si>
  <si>
    <t xml:space="preserve">RFG SI with Conventional Oil </t>
  </si>
  <si>
    <t>RFG SI with Conventional Oil - Light Duty Auto - 2005 - NH3 Excluded - $6M Cost of Life - ¢2007</t>
  </si>
  <si>
    <t>RFG SI with Conventional Oil - Light Duty Auto - 2030 - NH3 Excluded - $6M Cost of Life - ¢2007</t>
  </si>
  <si>
    <t>RFG SI with Conventional Oil - Light Duty Auto - 2030 35 MPG - NH3 Excluded - $6M Cost of Life - ¢2007 - Results per Mile</t>
  </si>
  <si>
    <t>RFG SI with Conventional Oil - Light Duty Truck 1 - 2005 - NH3 Excluded - $6M Cost of Life - ¢2007</t>
  </si>
  <si>
    <t>RFG SI with Conventional Oil - Light Duty Truck 1 - 2030 - NH3 Excluded - $6M Cost of Life - ¢2007</t>
  </si>
  <si>
    <t>RFG SI with Conventional Oil - Light Duty Truck 1 - 2030 35 MPG - NH3 Excluded - $6M Cost of Life - ¢2007 - Results per Mile</t>
  </si>
  <si>
    <t>RFG SI with Conventional Oil - Light Duty Truck 2 - 2005 - NH3 Excluded - $6M Cost of Life - ¢2007</t>
  </si>
  <si>
    <t>RFG SI with Conventional Oil - Light Duty Truck 2 - 2030 - NH3 Excluded - $6M Cost of Life - ¢2007</t>
  </si>
  <si>
    <t>RFG SI with Conventional Oil - Light Duty Truck 2 - 2030 35 MPG - NH3 Excluded - $6M Cost of Life - ¢2007 - Results per Mile</t>
  </si>
  <si>
    <t>0.01 - 1.07 (m=0.06, µ=0.07)</t>
  </si>
  <si>
    <t>0.12 - 1.17 (m=0.30, µ=0.41)</t>
  </si>
  <si>
    <t>0.35 - 5.12 (m=1.02, µ=1.14, µadj=1.38)</t>
  </si>
  <si>
    <t>0.01 - 1.37 (m=0.08, µ=0.09)</t>
  </si>
  <si>
    <t>0.16 - 1.49 (m=0.39, µ=0.53)</t>
  </si>
  <si>
    <t>0.44 - 6.79 (m=1.29, µ=1.43, µadj=1.77)</t>
  </si>
  <si>
    <t>0.01 - 1.49 (m=0.09, µ=0.10)</t>
  </si>
  <si>
    <t>0.17 - 1.63 (m=0.42, µ=0.57)</t>
  </si>
  <si>
    <t>0.49 - 10.92 (m=1.53, µ=1.69, µadj=2.36)</t>
  </si>
  <si>
    <t>0.01 - 1.01 (m=0.06, µ=0.07)</t>
  </si>
  <si>
    <t>0.12 - 1.10 (m=0.28, µ=0.39)</t>
  </si>
  <si>
    <t>0.29 - 4.71 (m=0.82, µ=0.95, µadj=1.18)</t>
  </si>
  <si>
    <t>0.01 - 1.29 (m=0.07, µ=0.09)</t>
  </si>
  <si>
    <t>0.15 - 1.41 (m=0.36, µ=0.50)</t>
  </si>
  <si>
    <t>0.36 - 6.26 (m=1.05, µ=1.20, µadj=1.53)</t>
  </si>
  <si>
    <t>0.01 - 1.40 (m=0.08, µ=0.09)</t>
  </si>
  <si>
    <t>0.16 - 1.53 (m=0.39, µ=0.54)</t>
  </si>
  <si>
    <t>0.40 - 10.17 (m=1.25, µ=1.43, µadj=2.08)</t>
  </si>
  <si>
    <t>0.02 - 0.31 (m=0.10, µ=0.10, µadj=0.12)</t>
  </si>
  <si>
    <t>0.02 - 0.41 (m=0.12, µ=0.13, µadj=0.14)</t>
  </si>
  <si>
    <t>0.01 - 0.09 (m=0.02, µ=0.03)</t>
  </si>
  <si>
    <t>0.02 - 0.62 (m=0.13, µ=0.14, µadj=0.17)</t>
  </si>
  <si>
    <t>0.00 - 0.01 (m=0.01, µ=0.01)</t>
  </si>
  <si>
    <t xml:space="preserve">RFG SI with Tar Sands Oil </t>
  </si>
  <si>
    <t>RFG SI with Tar Sands Oil - Light Duty Auto - 2005 - NH3 Excluded - $6M Cost of Life - ¢2007</t>
  </si>
  <si>
    <t>RFG SI with Tar Sands Oil - Light Duty Auto - 2030 - NH3 Excluded - $6M Cost of Life - ¢2007</t>
  </si>
  <si>
    <t>RFG SI with Tar Sands Oil - Light Duty Auto - 2030 35 MPG - NH3 Excluded - $6M Cost of Life - ¢2007 - Results per Mile</t>
  </si>
  <si>
    <t>RFG SI with Tar Sands Oil - Light Duty Truck 1 - 2005 - NH3 Excluded - $6M Cost of Life - ¢2007</t>
  </si>
  <si>
    <t>RFG SI with Tar Sands Oil - Light Duty Truck 1 - 2030 - NH3 Excluded - $6M Cost of Life - ¢2007</t>
  </si>
  <si>
    <t>RFG SI with Tar Sands Oil - Light Duty Truck 1 - 2030 35 MPG - NH3 Excluded - $6M Cost of Life - ¢2007 - Results per Mile</t>
  </si>
  <si>
    <t>RFG SI with Tar Sands Oil - Light Duty Truck 2 - 2005 - NH3 Excluded - $6M Cost of Life - ¢2007</t>
  </si>
  <si>
    <t>RFG SI with Tar Sands Oil - Light Duty Truck 2 - 2030 - NH3 Excluded - $6M Cost of Life - ¢2007</t>
  </si>
  <si>
    <t>RFG SI with Tar Sands Oil - Light Duty Truck 2 - 2030 35 MPG - NH3 Excluded - $6M Cost of Life - ¢2007 - Results per Mile</t>
  </si>
  <si>
    <t>0.35 - 5.40 (m=1.02, µ=1.15, µadj=1.39)</t>
  </si>
  <si>
    <t>0.01 - 1.67 (m=0.09, µ=0.11)</t>
  </si>
  <si>
    <t>0.16 - 1.50 (m=0.39, µ=0.53)</t>
  </si>
  <si>
    <t>0.44 - 7.16 (m=1.30, µ=1.45, µadj=1.79)</t>
  </si>
  <si>
    <t>0.01 - 1.82 (m=0.10, µ=0.12)</t>
  </si>
  <si>
    <t>0.49 - 11.32 (m=1.54, µ=1.70, µadj=2.38)</t>
  </si>
  <si>
    <t>0.01 - 1.23 (m=0.07, µ=0.08)</t>
  </si>
  <si>
    <t>0.29 - 4.98 (m=0.83, µ=0.96, µadj=1.19)</t>
  </si>
  <si>
    <t>0.01 - 1.57 (m=0.08, µ=0.10)</t>
  </si>
  <si>
    <t>0.37 - 6.61 (m=1.06, µ=1.22, µadj=1.54)</t>
  </si>
  <si>
    <t>0.16 - 1.54 (m=0.39, µ=0.54)</t>
  </si>
  <si>
    <t>0.41 - 10.55 (m=1.26, µ=1.45, µadj=2.09)</t>
  </si>
  <si>
    <t>0.02 - 0.33 (m=0.10, µ=0.10, µadj=0.12)</t>
  </si>
  <si>
    <t xml:space="preserve">RFG SIDI with Conventional Oil </t>
  </si>
  <si>
    <t>RFG SIDI with Conventional Oil - Light Duty Auto - 2005 - NH3 Excluded - $6M Cost of Life - ¢2007</t>
  </si>
  <si>
    <t>RFG SIDI with Conventional Oil - Light Duty Auto - 2030 - NH3 Excluded - $6M Cost of Life - ¢2007</t>
  </si>
  <si>
    <t>RFG SIDI with Conventional Oil - Light Duty Auto - 2030 35 MPG - NH3 Excluded - $6M Cost of Life - ¢2007 - Results per Mile</t>
  </si>
  <si>
    <t>RFG SIDI with Conventional Oil - Light Duty Truck 1 - 2005 - NH3 Excluded - $6M Cost of Life - ¢2007</t>
  </si>
  <si>
    <t>RFG SIDI with Conventional Oil - Light Duty Truck 1 - 2030 - NH3 Excluded - $6M Cost of Life - ¢2007</t>
  </si>
  <si>
    <t>RFG SIDI with Conventional Oil - Light Duty Truck 1 - 2030 35 MPG - NH3 Excluded - $6M Cost of Life - ¢2007 - Results per Mile</t>
  </si>
  <si>
    <t>RFG SIDI with Conventional Oil - Light Duty Truck 2 - 2005 - NH3 Excluded - $6M Cost of Life - ¢2007</t>
  </si>
  <si>
    <t>RFG SIDI with Conventional Oil - Light Duty Truck 2 - 2030 - NH3 Excluded - $6M Cost of Life - ¢2007</t>
  </si>
  <si>
    <t>RFG SIDI with Conventional Oil - Light Duty Truck 2 - 2030 35 MPG - NH3 Excluded - $6M Cost of Life - ¢2007 - Results per Mile</t>
  </si>
  <si>
    <t>0.01 - 2.85 (m=0.10, µ=0.13, µpop=0.37)</t>
  </si>
  <si>
    <t>0.01 - 0.93 (m=0.06, µ=0.06)</t>
  </si>
  <si>
    <t>0.11 - 1.02 (m=0.26, µ=0.36)</t>
  </si>
  <si>
    <t>0.33 - 4.89 (m=0.97, µ=1.07, µadj=1.32)</t>
  </si>
  <si>
    <t>0.01 - 2.85 (m=0.07, µ=0.10, µpop=0.38)</t>
  </si>
  <si>
    <t>0.01 - 1.14 (m=0.06, µ=0.07)</t>
  </si>
  <si>
    <t>0.14 - 1.07 (m=0.27, µ=0.36)</t>
  </si>
  <si>
    <t>0.49 - 5.67 (m=1.08, µ=1.24, µadj=1.51)</t>
  </si>
  <si>
    <t>0.01 - 2.49 (m=0.06, µ=0.09, µpop=0.33)</t>
  </si>
  <si>
    <t>0.45 - 4.96 (m=1.00, µ=1.13, µadj=1.37)</t>
  </si>
  <si>
    <t>0.01 - 3.95 (m=0.16, µ=0.20, µpop=0.54)</t>
  </si>
  <si>
    <t>0.01 - 1.19 (m=0.07, µ=0.08)</t>
  </si>
  <si>
    <t>0.14 - 1.30 (m=0.34, µ=0.46)</t>
  </si>
  <si>
    <t>0.42 - 6.50 (m=1.23, µ=1.35, µadj=1.69)</t>
  </si>
  <si>
    <t>0.01 - 3.51 (m=0.09, µ=0.13, µpop=0.47)</t>
  </si>
  <si>
    <t>0.01 - 1.35 (m=0.07, µ=0.09)</t>
  </si>
  <si>
    <t>0.17 - 1.27 (m=0.32, µ=0.43)</t>
  </si>
  <si>
    <t>0.60 - 6.71 (m=1.29, µ=1.48, µadj=1.81)</t>
  </si>
  <si>
    <t>0.01 - 2.74 (m=0.07, µ=0.10, µpop=0.36)</t>
  </si>
  <si>
    <t>0.52 - 5.32 (m=1.13, µ=1.27, µadj=1.53)</t>
  </si>
  <si>
    <t>0.01 - 4.16 (m=0.11, µ=0.16, µpop=0.56)</t>
  </si>
  <si>
    <t>0.01 - 1.58 (m=0.08, µ=0.10)</t>
  </si>
  <si>
    <t>0.20 - 1.48 (m=0.37, µ=0.50)</t>
  </si>
  <si>
    <t>0.63 - 7.54 (m=1.38, µ=1.59, µadj=1.99)</t>
  </si>
  <si>
    <t>0.01 - 2.92 (m=0.07, µ=0.11, µpop=0.39)</t>
  </si>
  <si>
    <t>0.52 - 5.42 (m=1.14, µ=1.28, µadj=1.56)</t>
  </si>
  <si>
    <t>0.01 - 2.69 (m=0.09, µ=0.12, µpop=0.35)</t>
  </si>
  <si>
    <t>0.01 - 0.88 (m=0.05, µ=0.06)</t>
  </si>
  <si>
    <t>0.10 - 0.96 (m=0.25, µ=0.34)</t>
  </si>
  <si>
    <t>0.27 - 4.49 (m=0.78, µ=0.89, µadj=1.12)</t>
  </si>
  <si>
    <t>0.01 - 2.71 (m=0.07, µ=0.10, µpop=0.36)</t>
  </si>
  <si>
    <t>0.13 - 1.01 (m=0.25, µ=0.34)</t>
  </si>
  <si>
    <t>0.42 - 5.34 (m=0.89, µ=1.06, µadj=1.32)</t>
  </si>
  <si>
    <t>0.00 - 2.36 (m=0.06, µ=0.08, µpop=0.31)</t>
  </si>
  <si>
    <t>0.39 - 4.67 (m=0.81, µ=0.96, µadj=1.18)</t>
  </si>
  <si>
    <t>0.01 - 3.73 (m=0.14, µ=0.18, µpop=0.50)</t>
  </si>
  <si>
    <t>0.01 - 1.12 (m=0.06, µ=0.07)</t>
  </si>
  <si>
    <t>0.13 - 1.22 (m=0.31, µ=0.43)</t>
  </si>
  <si>
    <t>0.34 - 5.98 (m=0.99, µ=1.13, µadj=1.45)</t>
  </si>
  <si>
    <t>0.01 - 3.33 (m=0.08, µ=0.12, µpop=0.44)</t>
  </si>
  <si>
    <t>0.01 - 1.28 (m=0.07, µ=0.08)</t>
  </si>
  <si>
    <t>0.16 - 1.20 (m=0.30, µ=0.40)</t>
  </si>
  <si>
    <t>0.51 - 6.31 (m=1.07, µ=1.26, µadj=1.58)</t>
  </si>
  <si>
    <t>0.01 - 2.60 (m=0.06, µ=0.09, µpop=0.34)</t>
  </si>
  <si>
    <t>0.45 - 5.00 (m=0.91, µ=1.07, µadj=1.31)</t>
  </si>
  <si>
    <t>0.01 - 3.95 (m=0.10, µ=0.15, µpop=0.53)</t>
  </si>
  <si>
    <t>0.19 - 1.40 (m=0.35, µ=0.47)</t>
  </si>
  <si>
    <t>0.55 - 7.10 (m=1.15, µ=1.37, µadj=1.75)</t>
  </si>
  <si>
    <t>0.01 - 2.78 (m=0.07, µ=0.10, µpop=0.37)</t>
  </si>
  <si>
    <t>0.45 - 5.10 (m=0.92, µ=1.07, µadj=1.34)</t>
  </si>
  <si>
    <t>0.01 - 0.05 (m=0.01, µ=0.02)</t>
  </si>
  <si>
    <t>0.02 - 0.30 (m=0.10, µ=0.10, µadj=0.11)</t>
  </si>
  <si>
    <t>0.02 - 0.31 (m=0.10, µ=0.11, µadj=0.12)</t>
  </si>
  <si>
    <t>0.02 - 0.40 (m=0.12, µ=0.12, µadj=0.14)</t>
  </si>
  <si>
    <t>0.03 - 0.37 (m=0.12, µ=0.13, µadj=0.14)</t>
  </si>
  <si>
    <t>0.03 - 0.42 (m=0.12, µ=0.13, µadj=0.15)</t>
  </si>
  <si>
    <t xml:space="preserve">RFG SIDI with Tar Sands Oil </t>
  </si>
  <si>
    <t>RFG SIDI with Tar Sands Oil - Light Duty Auto - 2005 - NH3 Excluded - $6M Cost of Life - ¢2007</t>
  </si>
  <si>
    <t>RFG SIDI with Tar Sands Oil - Light Duty Auto - 2030 - NH3 Excluded - $6M Cost of Life - ¢2007</t>
  </si>
  <si>
    <t>RFG SIDI with Tar Sands Oil - Light Duty Auto - 2030 35 MPG - NH3 Excluded - $6M Cost of Life - ¢2007 - Results per Mile</t>
  </si>
  <si>
    <t>RFG SIDI with Tar Sands Oil - Light Duty Truck 1 - 2005 - NH3 Excluded - $6M Cost of Life - ¢2007</t>
  </si>
  <si>
    <t>RFG SIDI with Tar Sands Oil - Light Duty Truck 1 - 2030 - NH3 Excluded - $6M Cost of Life - ¢2007</t>
  </si>
  <si>
    <t>RFG SIDI with Tar Sands Oil - Light Duty Truck 1 - 2030 35 MPG - NH3 Excluded - $6M Cost of Life - ¢2007 - Results per Mile</t>
  </si>
  <si>
    <t>RFG SIDI with Tar Sands Oil - Light Duty Truck 2 - 2005 - NH3 Excluded - $6M Cost of Life - ¢2007</t>
  </si>
  <si>
    <t>RFG SIDI with Tar Sands Oil - Light Duty Truck 2 - 2030 - NH3 Excluded - $6M Cost of Life - ¢2007</t>
  </si>
  <si>
    <t>RFG SIDI with Tar Sands Oil - Light Duty Truck 2 - 2030 35 MPG - NH3 Excluded - $6M Cost of Life - ¢2007 - Results per Mile</t>
  </si>
  <si>
    <t>0.33 - 5.14 (m=0.98, µ=1.08, µadj=1.33)</t>
  </si>
  <si>
    <t>0.01 - 1.29 (m=0.07, µ=0.08)</t>
  </si>
  <si>
    <t>0.49 - 5.84 (m=1.09, µ=1.25, µadj=1.53)</t>
  </si>
  <si>
    <t>0.45 - 5.09 (m=1.00, µ=1.14, µadj=1.38)</t>
  </si>
  <si>
    <t>0.01 - 1.45 (m=0.08, µ=0.09)</t>
  </si>
  <si>
    <t>0.42 - 6.82 (m=1.24, µ=1.36, µadj=1.70)</t>
  </si>
  <si>
    <t>0.01 - 1.54 (m=0.08, µ=0.10)</t>
  </si>
  <si>
    <t>0.60 - 6.90 (m=1.30, µ=1.49, µadj=1.83)</t>
  </si>
  <si>
    <t>0.52 - 5.44 (m=1.14, µ=1.28, µadj=1.54)</t>
  </si>
  <si>
    <t>0.01 - 1.80 (m=0.10, µ=0.11)</t>
  </si>
  <si>
    <t>0.20 - 1.49 (m=0.37, µ=0.50)</t>
  </si>
  <si>
    <t>0.63 - 7.77 (m=1.39, µ=1.61, µadj=2.01)</t>
  </si>
  <si>
    <t>0.52 - 5.55 (m=1.14, µ=1.29, µadj=1.57)</t>
  </si>
  <si>
    <t>0.27 - 4.73 (m=0.78, µ=0.90, µadj=1.13)</t>
  </si>
  <si>
    <t>0.01 - 1.23 (m=0.06, µ=0.08)</t>
  </si>
  <si>
    <t>0.42 - 5.50 (m=0.90, µ=1.07, µadj=1.33)</t>
  </si>
  <si>
    <t>0.39 - 4.79 (m=0.82, µ=0.96, µadj=1.19)</t>
  </si>
  <si>
    <t>0.01 - 1.37 (m=0.07, µ=0.09)</t>
  </si>
  <si>
    <t>0.13 - 1.23 (m=0.31, µ=0.43)</t>
  </si>
  <si>
    <t>0.34 - 6.29 (m=1.00, µ=1.14, µadj=1.46)</t>
  </si>
  <si>
    <t>0.01 - 1.46 (m=0.08, µ=0.09)</t>
  </si>
  <si>
    <t>0.52 - 6.49 (m=1.08, µ=1.27, µadj=1.59)</t>
  </si>
  <si>
    <t>0.45 - 5.12 (m=0.92, µ=1.07, µadj=1.32)</t>
  </si>
  <si>
    <t>0.19 - 1.41 (m=0.35, µ=0.47)</t>
  </si>
  <si>
    <t>0.55 - 7.32 (m=1.16, µ=1.38, µadj=1.76)</t>
  </si>
  <si>
    <t>0.45 - 5.22 (m=0.93, µ=1.08, µadj=1.35)</t>
  </si>
  <si>
    <t>0.02 - 0.28 (m=0.10, µ=0.10, µadj=0.12)</t>
  </si>
  <si>
    <t>0.03 - 0.39 (m=0.12, µ=0.13, µadj=0.15)</t>
  </si>
  <si>
    <t>0.02 - 0.32 (m=0.11, µ=0.12, µadj=0.13)</t>
  </si>
  <si>
    <t>0.03 - 0.44 (m=0.13, µ=0.13, µadj=0.15)</t>
  </si>
  <si>
    <t xml:space="preserve">E10 from Wet Corn </t>
  </si>
  <si>
    <t>E10 from Wet Corn - Light Duty Auto - 2005 - NH3 Excluded - $6M Cost of Life - ¢2007</t>
  </si>
  <si>
    <t>E10 from Wet Corn - Light Duty Auto - 2030 - NH3 Excluded - $6M Cost of Life - ¢2007</t>
  </si>
  <si>
    <t>E10 from Wet Corn - Light Duty Auto - 2030 35 MPG - NH3 Excluded - $6M Cost of Life - ¢2007 - Results per Mile</t>
  </si>
  <si>
    <t>E10 from Wet Corn - Light Duty Truck 1 - 2005 - NH3 Excluded - $6M Cost of Life - ¢2007</t>
  </si>
  <si>
    <t>E10 from Wet Corn - Light Duty Truck 1 - 2030 - NH3 Excluded - $6M Cost of Life - ¢2007</t>
  </si>
  <si>
    <t>E10 from Wet Corn - Light Duty Truck 1 - 2030 35 MPG - NH3 Excluded - $6M Cost of Life - ¢2007 - Results per Mile</t>
  </si>
  <si>
    <t>E10 from Wet Corn - Light Duty Truck 2 - 2005 - NH3 Excluded - $6M Cost of Life - ¢2007</t>
  </si>
  <si>
    <t>E10 from Wet Corn - Light Duty Truck 2 - 2030 - NH3 Excluded - $6M Cost of Life - ¢2007</t>
  </si>
  <si>
    <t>E10 from Wet Corn - Light Duty Truck 2 - 2030 35 MPG - NH3 Excluded - $6M Cost of Life - ¢2007 - Results per Mile</t>
  </si>
  <si>
    <t>0.01 - 2.85 (m=0.10, µ=0.13, µpop=0.38)</t>
  </si>
  <si>
    <t>0.01 - 1.47 (m=0.08, µ=0.10)</t>
  </si>
  <si>
    <t>0.13 - 1.18 (m=0.31, µ=0.42)</t>
  </si>
  <si>
    <t>0.36 - 5.43 (m=1.05, µ=1.17, µadj=1.41)</t>
  </si>
  <si>
    <t>0.01 - 1.67 (m=0.09, µ=0.10)</t>
  </si>
  <si>
    <t>0.17 - 1.16 (m=0.30, µ=0.40)</t>
  </si>
  <si>
    <t>0.52 - 6.32 (m=1.14, µ=1.32, µadj=1.59)</t>
  </si>
  <si>
    <t>0.11 - 0.79 (m=0.21, µ=0.27)</t>
  </si>
  <si>
    <t>0.45 - 5.06 (m=1.00, µ=1.13, µadj=1.35)</t>
  </si>
  <si>
    <t>0.01 - 1.88 (m=0.11, µ=0.12)</t>
  </si>
  <si>
    <t>0.17 - 1.51 (m=0.40, µ=0.54)</t>
  </si>
  <si>
    <t>0.42 - 7.09 (m=1.24, µ=1.38, µadj=1.72)</t>
  </si>
  <si>
    <t>0.01 - 1.99 (m=0.10, µ=0.12)</t>
  </si>
  <si>
    <t>0.20 - 1.38 (m=0.36, µ=0.48)</t>
  </si>
  <si>
    <t>0.56 - 7.26 (m=1.24, µ=1.44, µadj=1.78)</t>
  </si>
  <si>
    <t>0.01 - 2.55 (m=0.06, µ=0.09, µpop=0.33)</t>
  </si>
  <si>
    <t>0.52 - 5.40 (m=1.13, µ=1.27, µadj=1.51)</t>
  </si>
  <si>
    <t>0.02 - 7.89 (m=0.31, µ=0.40, µpop=1.07)</t>
  </si>
  <si>
    <t>0.01 - 2.05 (m=0.12, µ=0.14)</t>
  </si>
  <si>
    <t>0.19 - 1.65 (m=0.43, µ=0.59)</t>
  </si>
  <si>
    <t>0.46 - 11.26 (m=1.47, µ=1.64, µadj=2.31)</t>
  </si>
  <si>
    <t>0.01 - 4.17 (m=0.11, µ=0.16, µpop=0.56)</t>
  </si>
  <si>
    <t>0.01 - 2.32 (m=0.12, µ=0.14)</t>
  </si>
  <si>
    <t>0.23 - 1.62 (m=0.42, µ=0.56)</t>
  </si>
  <si>
    <t>0.60 - 8.22 (m=1.34, µ=1.57, µadj=1.97)</t>
  </si>
  <si>
    <t>0.52 - 5.50 (m=1.14, µ=1.28, µadj=1.54)</t>
  </si>
  <si>
    <t>0.01 - 1.38 (m=0.08, µ=0.09)</t>
  </si>
  <si>
    <t>0.12 - 1.11 (m=0.29, µ=0.40)</t>
  </si>
  <si>
    <t>0.30 - 5.00 (m=0.85, µ=0.98, µadj=1.21)</t>
  </si>
  <si>
    <t>0.01 - 1.58 (m=0.08, µ=0.09)</t>
  </si>
  <si>
    <t>0.16 - 1.10 (m=0.28, µ=0.38)</t>
  </si>
  <si>
    <t>0.45 - 5.95 (m=0.95, µ=1.13, µadj=1.39)</t>
  </si>
  <si>
    <t>0.01 - 1.08 (m=0.06, µ=0.06)</t>
  </si>
  <si>
    <t>0.11 - 0.75 (m=0.19, µ=0.26)</t>
  </si>
  <si>
    <t>0.39 - 4.76 (m=0.81, µ=0.96, µadj=1.17)</t>
  </si>
  <si>
    <t>0.01 - 3.74 (m=0.14, µ=0.18, µpop=0.50)</t>
  </si>
  <si>
    <t>0.01 - 1.77 (m=0.10, µ=0.11)</t>
  </si>
  <si>
    <t>0.16 - 1.42 (m=0.37, µ=0.51)</t>
  </si>
  <si>
    <t>0.35 - 6.57 (m=1.01, µ=1.18, µadj=1.50)</t>
  </si>
  <si>
    <t>0.01 - 3.34 (m=0.08, µ=0.12, µpop=0.45)</t>
  </si>
  <si>
    <t>0.01 - 1.88 (m=0.10, µ=0.11)</t>
  </si>
  <si>
    <t>0.18 - 1.31 (m=0.34, µ=0.45)</t>
  </si>
  <si>
    <t>0.48 - 6.84 (m=1.04, µ=1.24, µadj=1.56)</t>
  </si>
  <si>
    <t>0.45 - 5.08 (m=0.92, µ=1.06, µadj=1.30)</t>
  </si>
  <si>
    <t>0.02 - 7.46 (m=0.27, µ=0.35, µpop=1.00)</t>
  </si>
  <si>
    <t>0.01 - 1.93 (m=0.11, µ=0.12)</t>
  </si>
  <si>
    <t>0.17 - 1.55 (m=0.40, µ=0.55)</t>
  </si>
  <si>
    <t>0.39 - 10.51 (m=1.22, µ=1.41, µadj=2.05)</t>
  </si>
  <si>
    <t>0.01 - 3.96 (m=0.10, µ=0.15, µpop=0.53)</t>
  </si>
  <si>
    <t>0.01 - 2.20 (m=0.11, µ=0.13)</t>
  </si>
  <si>
    <t>0.22 - 1.53 (m=0.40, µ=0.53)</t>
  </si>
  <si>
    <t>0.52 - 7.76 (m=1.14, µ=1.37, µadj=1.75)</t>
  </si>
  <si>
    <t>0.01 - 2.58 (m=0.06, µ=0.09, µpop=0.34)</t>
  </si>
  <si>
    <t>0.45 - 5.17 (m=0.92, µ=1.07, µadj=1.32)</t>
  </si>
  <si>
    <t>0.02 - 0.42 (m=0.11, µ=0.11, µadj=0.13)</t>
  </si>
  <si>
    <t>0.03 - 0.38 (m=0.11, µ=0.12, µadj=0.13)</t>
  </si>
  <si>
    <t>0.00 - 0.11 (m=0.00, µ=0.01)</t>
  </si>
  <si>
    <t>0.02 - 0.63 (m=0.12, µ=0.12, µadj=0.16)</t>
  </si>
  <si>
    <t>0.00 - 0.12 (m=0.00, µ=0.01)</t>
  </si>
  <si>
    <t>0.03 - 0.43 (m=0.11, µ=0.12, µadj=0.14)</t>
  </si>
  <si>
    <t>0.01 - 0.20 (m=0.09, µ=0.08, µadj=0.08)</t>
  </si>
  <si>
    <t>0.01 - 0.15 (m=0.08, µ=0.08, µadj=0.08)</t>
  </si>
  <si>
    <t>0.00 - 0.05 (m=0.00, µ=0.01)</t>
  </si>
  <si>
    <t>0.01 - 0.27 (m=0.10, µ=0.09, µadj=0.09)</t>
  </si>
  <si>
    <t>0.01 - 0.16 (m=0.08, µ=0.08, µadj=0.08)</t>
  </si>
  <si>
    <t>0.01 - 0.17 (m=0.09, µ=0.09, µadj=0.09)</t>
  </si>
  <si>
    <t>0.00 - 0.06 (m=0.00, µ=0.01)</t>
  </si>
  <si>
    <t>0.01 - 0.41 (m=0.11, µ=0.11, µadj=0.10)</t>
  </si>
  <si>
    <t xml:space="preserve">E10 from Dry Corn </t>
  </si>
  <si>
    <t>E10 from Dry Corn - Light Duty Auto - 2005 - NH3 Excluded - $6M Cost of Life - ¢2007</t>
  </si>
  <si>
    <t>E10 from Dry Corn - Light Duty Auto - 2030 - NH3 Excluded - $6M Cost of Life - ¢2007</t>
  </si>
  <si>
    <t>E10 from Dry Corn - Light Duty Auto - 2030 35 MPG - NH3 Excluded - $6M Cost of Life - ¢2007 - Results per Mile</t>
  </si>
  <si>
    <t>E10 from Dry Corn - Light Duty Truck 1 - 2005 - NH3 Excluded - $6M Cost of Life - ¢2007</t>
  </si>
  <si>
    <t>E10 from Dry Corn - Light Duty Truck 1 - 2030 - NH3 Excluded - $6M Cost of Life - ¢2007</t>
  </si>
  <si>
    <t>E10 from Dry Corn - Light Duty Truck 1 - 2030 35 MPG - NH3 Excluded - $6M Cost of Life - ¢2007 - Results per Mile</t>
  </si>
  <si>
    <t>E10 from Dry Corn - Light Duty Truck 2 - 2005 - NH3 Excluded - $6M Cost of Life - ¢2007</t>
  </si>
  <si>
    <t>E10 from Dry Corn - Light Duty Truck 2 - 2030 - NH3 Excluded - $6M Cost of Life - ¢2007</t>
  </si>
  <si>
    <t>E10 from Dry Corn - Light Duty Truck 2 - 2030 35 MPG - NH3 Excluded - $6M Cost of Life - ¢2007 - Results per Mile</t>
  </si>
  <si>
    <t>0.01 - 1.33 (m=0.08, µ=0.09)</t>
  </si>
  <si>
    <t>0.12 - 1.01 (m=0.27, µ=0.37)</t>
  </si>
  <si>
    <t>0.35 - 5.26 (m=1.00, µ=1.11, µadj=1.35)</t>
  </si>
  <si>
    <t>0.01 - 1.51 (m=0.08, µ=0.09)</t>
  </si>
  <si>
    <t>0.15 - 1.05 (m=0.28, µ=0.37)</t>
  </si>
  <si>
    <t>0.51 - 6.04 (m=1.11, µ=1.27, µadj=1.54)</t>
  </si>
  <si>
    <t>0.01 - 1.03 (m=0.05, µ=0.06)</t>
  </si>
  <si>
    <t>0.11 - 0.72 (m=0.19, µ=0.25)</t>
  </si>
  <si>
    <t>0.44 - 4.87 (m=0.98, µ=1.10, µadj=1.32)</t>
  </si>
  <si>
    <t>0.01 - 1.70 (m=0.10, µ=0.11)</t>
  </si>
  <si>
    <t>0.15 - 1.29 (m=0.35, µ=0.47)</t>
  </si>
  <si>
    <t>0.44 - 6.98 (m=1.28, µ=1.40, µadj=1.73)</t>
  </si>
  <si>
    <t>0.01 - 1.79 (m=0.09, µ=0.11)</t>
  </si>
  <si>
    <t>0.18 - 1.25 (m=0.33, µ=0.44)</t>
  </si>
  <si>
    <t>0.61 - 7.14 (m=1.33, µ=1.51, µadj=1.85)</t>
  </si>
  <si>
    <t>0.51 - 5.22 (m=1.11, µ=1.24, µadj=1.48)</t>
  </si>
  <si>
    <t>0.01 - 1.86 (m=0.11, µ=0.12)</t>
  </si>
  <si>
    <t>0.17 - 1.40 (m=0.38, µ=0.51)</t>
  </si>
  <si>
    <t>0.48 - 11.13 (m=1.51, µ=1.65, µadj=2.32)</t>
  </si>
  <si>
    <t>0.01 - 2.09 (m=0.11, µ=0.13)</t>
  </si>
  <si>
    <t>0.21 - 1.46 (m=0.39, µ=0.51)</t>
  </si>
  <si>
    <t>0.65 - 8.05 (m=1.42, µ=1.64, µadj=2.03)</t>
  </si>
  <si>
    <t>0.51 - 5.31 (m=1.12, µ=1.25, µadj=1.51)</t>
  </si>
  <si>
    <t>0.11 - 0.95 (m=0.25, µ=0.34)</t>
  </si>
  <si>
    <t>0.28 - 4.85 (m=0.81, µ=0.92, µadj=1.15)</t>
  </si>
  <si>
    <t>0.01 - 1.43 (m=0.07, µ=0.09)</t>
  </si>
  <si>
    <t>0.14 - 1.00 (m=0.26, µ=0.35)</t>
  </si>
  <si>
    <t>0.44 - 5.69 (m=0.92, µ=1.08, µadj=1.35)</t>
  </si>
  <si>
    <t>0.00 - 0.97 (m=0.05, µ=0.06)</t>
  </si>
  <si>
    <t>0.10 - 0.68 (m=0.18, µ=0.24)</t>
  </si>
  <si>
    <t>0.38 - 4.58 (m=0.79, µ=0.93, µadj=1.14)</t>
  </si>
  <si>
    <t>0.14 - 1.21 (m=0.32, µ=0.44)</t>
  </si>
  <si>
    <t>0.36 - 6.44 (m=1.03, µ=1.17, µadj=1.49)</t>
  </si>
  <si>
    <t>0.01 - 1.70 (m=0.09, µ=0.10)</t>
  </si>
  <si>
    <t>0.17 - 1.18 (m=0.31, µ=0.41)</t>
  </si>
  <si>
    <t>0.53 - 6.72 (m=1.10, µ=1.29, µadj=1.61)</t>
  </si>
  <si>
    <t>0.44 - 4.90 (m=0.90, µ=1.03, µadj=1.27)</t>
  </si>
  <si>
    <t>0.01 - 1.75 (m=0.10, µ=0.11)</t>
  </si>
  <si>
    <t>0.15 - 1.32 (m=0.35, µ=0.48)</t>
  </si>
  <si>
    <t>0.40 - 10.36 (m=1.23, µ=1.39, µadj=2.04)</t>
  </si>
  <si>
    <t>0.01 - 1.98 (m=0.10, µ=0.12)</t>
  </si>
  <si>
    <t>0.57 - 7.59 (m=1.19, µ=1.41, µadj=1.79)</t>
  </si>
  <si>
    <t>0.44 - 4.99 (m=0.90, µ=1.04, µadj=1.29)</t>
  </si>
  <si>
    <t>0.02 - 0.32 (m=0.10, µ=0.10, µadj=0.11)</t>
  </si>
  <si>
    <t>0.00 - 0.04 (m=0.01, µ=0.01)</t>
  </si>
  <si>
    <t>0.02 - 0.42 (m=0.12, µ=0.13, µadj=0.14)</t>
  </si>
  <si>
    <t>0.02 - 0.63 (m=0.13, µ=0.13, µadj=0.17)</t>
  </si>
  <si>
    <t>0.03 - 0.44 (m=0.13, µ=0.14, µadj=0.15)</t>
  </si>
  <si>
    <t>0.01 - 0.28 (m=0.11, µ=0.11, µadj=0.10)</t>
  </si>
  <si>
    <t>0.01 - 0.42 (m=0.13, µ=0.12, µadj=0.11)</t>
  </si>
  <si>
    <t xml:space="preserve">E10 from Herbaceous </t>
  </si>
  <si>
    <t>E10 from Herbaceous - Light Duty Auto - 2005 - NH3 Excluded - $6M Cost of Life - ¢2007</t>
  </si>
  <si>
    <t>E10 from Herbaceous - Light Duty Auto - 2030 - NH3 Excluded - $6M Cost of Life - ¢2007</t>
  </si>
  <si>
    <t>E10 from Herbaceous - Light Duty Auto - 2030 35 MPG - NH3 Excluded - $6M Cost of Life - ¢2007 - Results per Mile</t>
  </si>
  <si>
    <t>E10 from Herbaceous - Light Duty Truck 1 - 2005 - NH3 Excluded - $6M Cost of Life - ¢2007</t>
  </si>
  <si>
    <t>E10 from Herbaceous - Light Duty Truck 1 - 2030 - NH3 Excluded - $6M Cost of Life - ¢2007</t>
  </si>
  <si>
    <t>E10 from Herbaceous - Light Duty Truck 1 - 2030 35 MPG - NH3 Excluded - $6M Cost of Life - ¢2007 - Results per Mile</t>
  </si>
  <si>
    <t>E10 from Herbaceous - Light Duty Truck 2 - 2005 - NH3 Excluded - $6M Cost of Life - ¢2007</t>
  </si>
  <si>
    <t>E10 from Herbaceous - Light Duty Truck 2 - 2030 - NH3 Excluded - $6M Cost of Life - ¢2007</t>
  </si>
  <si>
    <t>E10 from Herbaceous - Light Duty Truck 2 - 2030 35 MPG - NH3 Excluded - $6M Cost of Life - ¢2007 - Results per Mile</t>
  </si>
  <si>
    <t>0.01 - 1.13 (m=0.07, µ=0.08)</t>
  </si>
  <si>
    <t>0.11 - 0.87 (m=0.25, µ=0.33)</t>
  </si>
  <si>
    <t>0.33 - 5.06 (m=0.97, µ=1.06, µadj=1.30)</t>
  </si>
  <si>
    <t>0.01 - 1.30 (m=0.07, µ=0.08)</t>
  </si>
  <si>
    <t>0.14 - 0.94 (m=0.26, µ=0.34)</t>
  </si>
  <si>
    <t>0.49 - 5.73 (m=1.08, µ=1.23, µadj=1.51)</t>
  </si>
  <si>
    <t>0.10 - 0.65 (m=0.18, µ=0.23)</t>
  </si>
  <si>
    <t>0.43 - 4.66 (m=0.96, µ=1.08, µadj=1.30)</t>
  </si>
  <si>
    <t>0.01 - 1.44 (m=0.09, µ=0.10)</t>
  </si>
  <si>
    <t>0.14 - 1.12 (m=0.31, µ=0.42)</t>
  </si>
  <si>
    <t>0.42 - 6.71 (m=1.23, µ=1.33, µadj=1.67)</t>
  </si>
  <si>
    <t>0.01 - 3.52 (m=0.09, µ=0.13, µpop=0.47)</t>
  </si>
  <si>
    <t>0.17 - 1.12 (m=0.31, µ=0.40)</t>
  </si>
  <si>
    <t>0.60 - 6.77 (m=1.30, µ=1.47, µadj=1.80)</t>
  </si>
  <si>
    <t>0.50 - 5.00 (m=1.09, µ=1.21, µadj=1.46)</t>
  </si>
  <si>
    <t>0.01 - 1.57 (m=0.09, µ=0.11)</t>
  </si>
  <si>
    <t>0.15 - 1.22 (m=0.34, µ=0.45)</t>
  </si>
  <si>
    <t>0.47 - 10.84 (m=1.45, µ=1.58, µadj=2.25)</t>
  </si>
  <si>
    <t>0.01 - 1.80 (m=0.10, µ=0.12)</t>
  </si>
  <si>
    <t>0.20 - 1.31 (m=0.36, µ=0.47)</t>
  </si>
  <si>
    <t>0.64 - 7.62 (m=1.38, µ=1.58, µadj=1.98)</t>
  </si>
  <si>
    <t>0.50 - 5.10 (m=1.10, µ=1.22, µadj=1.48)</t>
  </si>
  <si>
    <t>0.01 - 1.06 (m=0.06, µ=0.07)</t>
  </si>
  <si>
    <t>0.10 - 0.82 (m=0.23, µ=0.31)</t>
  </si>
  <si>
    <t>0.27 - 4.65 (m=0.77, µ=0.87, µadj=1.11)</t>
  </si>
  <si>
    <t>0.13 - 0.89 (m=0.24, µ=0.32)</t>
  </si>
  <si>
    <t>0.42 - 5.39 (m=0.89, µ=1.05, µadj=1.31)</t>
  </si>
  <si>
    <t>0.09 - 0.61 (m=0.17, µ=0.22)</t>
  </si>
  <si>
    <t>0.37 - 4.38 (m=0.77, µ=0.90, µadj=1.11)</t>
  </si>
  <si>
    <t>0.01 - 3.74 (m=0.14, µ=0.18, µpop=0.51)</t>
  </si>
  <si>
    <t>0.01 - 1.36 (m=0.08, µ=0.09)</t>
  </si>
  <si>
    <t>0.13 - 1.05 (m=0.29, µ=0.39)</t>
  </si>
  <si>
    <t>0.35 - 6.19 (m=0.98, µ=1.11, µadj=1.43)</t>
  </si>
  <si>
    <t>0.16 - 1.06 (m=0.29, µ=0.38)</t>
  </si>
  <si>
    <t>0.52 - 6.37 (m=1.07, µ=1.25, µadj=1.57)</t>
  </si>
  <si>
    <t>0.44 - 4.70 (m=0.88, µ=1.01, µadj=1.24)</t>
  </si>
  <si>
    <t>0.01 - 1.48 (m=0.09, µ=0.10)</t>
  </si>
  <si>
    <t>0.14 - 1.14 (m=0.32, µ=0.43)</t>
  </si>
  <si>
    <t>0.38 - 10.09 (m=1.18, µ=1.32, µadj=1.97)</t>
  </si>
  <si>
    <t>0.01 - 1.71 (m=0.09, µ=0.11)</t>
  </si>
  <si>
    <t>0.19 - 1.24 (m=0.34, µ=0.44)</t>
  </si>
  <si>
    <t>0.55 - 7.17 (m=1.15, µ=1.35, µadj=1.74)</t>
  </si>
  <si>
    <t>0.44 - 4.79 (m=0.88, µ=1.02, µadj=1.26)</t>
  </si>
  <si>
    <t>0.01 - 0.05 (m=0.01, µ=0.01)</t>
  </si>
  <si>
    <t>0.00 - 0.03 (m=0.01, µ=0.01)</t>
  </si>
  <si>
    <t>0.02 - 0.26 (m=0.10, µ=0.10, µadj=0.11)</t>
  </si>
  <si>
    <t>0.03 - 0.38 (m=0.12, µ=0.13, µadj=0.14)</t>
  </si>
  <si>
    <t>0.02 - 0.29 (m=0.11, µ=0.12, µadj=0.13)</t>
  </si>
  <si>
    <t>0.01 - 0.06 (m=0.02, µ=0.02)</t>
  </si>
  <si>
    <t>0.02 - 0.62 (m=0.12, µ=0.13, µadj=0.16)</t>
  </si>
  <si>
    <t>0.03 - 0.43 (m=0.12, µ=0.13, µadj=0.15)</t>
  </si>
  <si>
    <t>0.01 - 0.28 (m=0.11, µ=0.10, µadj=0.10)</t>
  </si>
  <si>
    <t xml:space="preserve">E10 from Corn Stover </t>
  </si>
  <si>
    <t>E10 from Corn Stover - Light Duty Auto - 2005 - NH3 Excluded - $6M Cost of Life - ¢2007</t>
  </si>
  <si>
    <t>E10 from Corn Stover - Light Duty Auto - 2030 - NH3 Excluded - $6M Cost of Life - ¢2007</t>
  </si>
  <si>
    <t>E10 from Corn Stover - Light Duty Auto - 2030 35 MPG - NH3 Excluded - $6M Cost of Life - ¢2007 - Results per Mile</t>
  </si>
  <si>
    <t>E10 from Corn Stover - Light Duty Truck 1 - 2005 - NH3 Excluded - $6M Cost of Life - ¢2007</t>
  </si>
  <si>
    <t>E10 from Corn Stover - Light Duty Truck 1 - 2030 - NH3 Excluded - $6M Cost of Life - ¢2007</t>
  </si>
  <si>
    <t>E10 from Corn Stover - Light Duty Truck 1 - 2030 35 MPG - NH3 Excluded - $6M Cost of Life - ¢2007 - Results per Mile</t>
  </si>
  <si>
    <t>E10 from Corn Stover - Light Duty Truck 2 - 2005 - NH3 Excluded - $6M Cost of Life - ¢2007</t>
  </si>
  <si>
    <t>E10 from Corn Stover - Light Duty Truck 2 - 2030 - NH3 Excluded - $6M Cost of Life - ¢2007</t>
  </si>
  <si>
    <t>E10 from Corn Stover - Light Duty Truck 2 - 2030 35 MPG - NH3 Excluded - $6M Cost of Life - ¢2007 - Results per Mile</t>
  </si>
  <si>
    <t>0.01 - 1.20 (m=0.07, µ=0.08)</t>
  </si>
  <si>
    <t>0.11 - 0.87 (m=0.24, µ=0.33)</t>
  </si>
  <si>
    <t>0.33 - 5.08 (m=0.97, µ=1.06, µadj=1.30)</t>
  </si>
  <si>
    <t>0.01 - 1.38 (m=0.07, µ=0.09)</t>
  </si>
  <si>
    <t>0.49 - 5.80 (m=1.08, µ=1.23, µadj=1.51)</t>
  </si>
  <si>
    <t>0.00 - 0.94 (m=0.05, µ=0.06)</t>
  </si>
  <si>
    <t>0.10 - 0.64 (m=0.18, µ=0.23)</t>
  </si>
  <si>
    <t>0.43 - 4.71 (m=0.96, µ=1.08, µadj=1.30)</t>
  </si>
  <si>
    <t>0.01 - 1.53 (m=0.09, µ=0.10)</t>
  </si>
  <si>
    <t>0.14 - 1.11 (m=0.31, µ=0.42)</t>
  </si>
  <si>
    <t>0.42 - 6.75 (m=1.23, µ=1.33, µadj=1.67)</t>
  </si>
  <si>
    <t>0.01 - 1.64 (m=0.09, µ=0.10)</t>
  </si>
  <si>
    <t>0.60 - 6.86 (m=1.30, µ=1.47, µadj=1.80)</t>
  </si>
  <si>
    <t>0.50 - 5.05 (m=1.09, µ=1.21, µadj=1.46)</t>
  </si>
  <si>
    <t>0.01 - 1.67 (m=0.10, µ=0.11)</t>
  </si>
  <si>
    <t>0.15 - 1.21 (m=0.34, µ=0.45)</t>
  </si>
  <si>
    <t>0.46 - 10.88 (m=1.45, µ=1.58, µadj=2.25)</t>
  </si>
  <si>
    <t>0.01 - 1.92 (m=0.10, µ=0.12)</t>
  </si>
  <si>
    <t>0.64 - 7.72 (m=1.38, µ=1.58, µadj=1.98)</t>
  </si>
  <si>
    <t>0.50 - 5.15 (m=1.10, µ=1.22, µadj=1.48)</t>
  </si>
  <si>
    <t>0.01 - 1.13 (m=0.06, µ=0.07)</t>
  </si>
  <si>
    <t>0.27 - 4.68 (m=0.77, µ=0.87, µadj=1.11)</t>
  </si>
  <si>
    <t>0.42 - 5.46 (m=0.89, µ=1.05, µadj=1.31)</t>
  </si>
  <si>
    <t>0.00 - 0.89 (m=0.05, µ=0.05)</t>
  </si>
  <si>
    <t>0.09 - 0.61 (m=0.16, µ=0.22)</t>
  </si>
  <si>
    <t>0.37 - 4.43 (m=0.77, µ=0.90, µadj=1.11)</t>
  </si>
  <si>
    <t>0.01 - 1.44 (m=0.08, µ=0.09)</t>
  </si>
  <si>
    <t>0.34 - 6.22 (m=0.98, µ=1.11, µadj=1.43)</t>
  </si>
  <si>
    <t>0.01 - 1.55 (m=0.08, µ=0.09)</t>
  </si>
  <si>
    <t>0.52 - 6.45 (m=1.07, µ=1.25, µadj=1.57)</t>
  </si>
  <si>
    <t>0.44 - 4.75 (m=0.88, µ=1.01, µadj=1.24)</t>
  </si>
  <si>
    <t>0.01 - 1.57 (m=0.09, µ=0.10)</t>
  </si>
  <si>
    <t>0.38 - 10.13 (m=1.18, µ=1.33, µadj=1.97)</t>
  </si>
  <si>
    <t>0.01 - 1.81 (m=0.09, µ=0.11)</t>
  </si>
  <si>
    <t>0.19 - 1.24 (m=0.33, µ=0.44)</t>
  </si>
  <si>
    <t>0.55 - 7.27 (m=1.15, µ=1.35, µadj=1.74)</t>
  </si>
  <si>
    <t>0.44 - 4.84 (m=0.88, µ=1.02, µadj=1.26)</t>
  </si>
  <si>
    <t xml:space="preserve">E85 from Wet Corn </t>
  </si>
  <si>
    <t>E85 from Wet Corn - Light Duty Auto - 2005 - NH3 Excluded - $6M Cost of Life - ¢2007</t>
  </si>
  <si>
    <t>E85 from Wet Corn - Light Duty Auto - 2030 - NH3 Excluded - $6M Cost of Life - ¢2007</t>
  </si>
  <si>
    <t>E85 from Wet Corn - Light Duty Auto - 2030 35 MPG - NH3 Excluded - $6M Cost of Life - ¢2007 - Results per Mile</t>
  </si>
  <si>
    <t>E85 from Wet Corn - Light Duty Truck 1 - 2005 - NH3 Excluded - $6M Cost of Life - ¢2007</t>
  </si>
  <si>
    <t>E85 from Wet Corn - Light Duty Truck 1 - 2030 - NH3 Excluded - $6M Cost of Life - ¢2007</t>
  </si>
  <si>
    <t>E85 from Wet Corn - Light Duty Truck 1 - 2030 35 MPG - NH3 Excluded - $6M Cost of Life - ¢2007 - Results per Mile</t>
  </si>
  <si>
    <t>E85 from Wet Corn - Light Duty Truck 2 - 2005 - NH3 Excluded - $6M Cost of Life - ¢2007</t>
  </si>
  <si>
    <t>E85 from Wet Corn - Light Duty Truck 2 - 2030 - NH3 Excluded - $6M Cost of Life - ¢2007</t>
  </si>
  <si>
    <t>E85 from Wet Corn - Light Duty Truck 2 - 2030 35 MPG - NH3 Excluded - $6M Cost of Life - ¢2007 - Results per Mile</t>
  </si>
  <si>
    <t>0.01 - 2.74 (m=0.10, µ=0.13, µpop=0.36)</t>
  </si>
  <si>
    <t>0.03 - 5.47 (m=0.30, µ=0.34)</t>
  </si>
  <si>
    <t>0.48 - 1.07 (m=0.58, µ=0.64)</t>
  </si>
  <si>
    <t>0.75 - 8.80 (m=1.53, µ=1.63, µadj=1.86)</t>
  </si>
  <si>
    <t>0.01 - 2.72 (m=0.07, µ=0.10, µpop=0.35)</t>
  </si>
  <si>
    <t>0.03 - 5.48 (m=0.27, µ=0.30)</t>
  </si>
  <si>
    <t>0.38 - 0.84 (m=0.45, µ=0.50)</t>
  </si>
  <si>
    <t>0.77 - 9.62 (m=1.47, µ=1.61, µadj=1.86)</t>
  </si>
  <si>
    <t>0.00 - 2.20 (m=0.05, µ=0.08, µpop=0.28)</t>
  </si>
  <si>
    <t>0.02 - 3.74 (m=0.18, µ=0.21)</t>
  </si>
  <si>
    <t>0.26 - 0.58 (m=0.31, µ=0.34)</t>
  </si>
  <si>
    <t>0.63 - 7.30 (m=1.22, µ=1.33, µadj=1.54)</t>
  </si>
  <si>
    <t>0.01 - 3.79 (m=0.15, µ=0.19, µpop=0.51)</t>
  </si>
  <si>
    <t>0.04 - 6.99 (m=0.38, µ=0.43)</t>
  </si>
  <si>
    <t>0.61 - 1.37 (m=0.74, µ=0.82)</t>
  </si>
  <si>
    <t>0.95 - 11.18 (m=1.94, µ=2.06, µadj=2.38)</t>
  </si>
  <si>
    <t>0.01 - 3.35 (m=0.09, µ=0.13, µpop=0.44)</t>
  </si>
  <si>
    <t>0.03 - 6.51 (m=0.32, µ=0.36)</t>
  </si>
  <si>
    <t>0.45 - 1.00 (m=0.53, µ=0.59)</t>
  </si>
  <si>
    <t>0.92 - 11.40 (m=1.75, µ=1.91, µadj=2.23)</t>
  </si>
  <si>
    <t>0.00 - 2.42 (m=0.06, µ=0.09, µpop=0.31)</t>
  </si>
  <si>
    <t>0.70 - 7.64 (m=1.35, µ=1.47, µadj=1.70)</t>
  </si>
  <si>
    <t>0.02 - 7.55 (m=0.30, µ=0.38, µpop=1.02)</t>
  </si>
  <si>
    <t>0.05 - 7.62 (m=0.41, µ=0.47)</t>
  </si>
  <si>
    <t>0.67 - 1.49 (m=0.80, µ=0.90)</t>
  </si>
  <si>
    <t>1.04 - 15.37 (m=2.21, µ=2.37, µadj=3.00)</t>
  </si>
  <si>
    <t>0.01 - 3.98 (m=0.11, µ=0.15, µpop=0.53)</t>
  </si>
  <si>
    <t>0.04 - 7.61 (m=0.37, µ=0.42)</t>
  </si>
  <si>
    <t>0.53 - 1.17 (m=0.62, µ=0.69)</t>
  </si>
  <si>
    <t>1.02 - 13.03 (m=1.93, µ=2.10, µadj=2.48)</t>
  </si>
  <si>
    <t>0.70 - 7.73 (m=1.35, µ=1.48, µadj=1.72)</t>
  </si>
  <si>
    <t>0.01 - 2.59 (m=0.09, µ=0.11, µpop=0.34)</t>
  </si>
  <si>
    <t>0.03 - 5.15 (m=0.27, µ=0.31)</t>
  </si>
  <si>
    <t>0.43 - 0.99 (m=0.52, µ=0.59)</t>
  </si>
  <si>
    <t>0.64 - 8.24 (m=1.30, µ=1.39, µadj=1.61)</t>
  </si>
  <si>
    <t>0.03 - 5.18 (m=0.25, µ=0.28)</t>
  </si>
  <si>
    <t>0.35 - 0.79 (m=0.41, µ=0.46)</t>
  </si>
  <si>
    <t>0.67 - 9.06 (m=1.26, µ=1.39, µadj=1.63)</t>
  </si>
  <si>
    <t>0.00 - 2.09 (m=0.05, µ=0.07, µpop=0.27)</t>
  </si>
  <si>
    <t>0.02 - 3.54 (m=0.17, µ=0.19)</t>
  </si>
  <si>
    <t>0.24 - 0.54 (m=0.28, µ=0.31)</t>
  </si>
  <si>
    <t>0.54 - 6.87 (m=1.02, µ=1.13, µadj=1.33)</t>
  </si>
  <si>
    <t>0.01 - 3.58 (m=0.13, µ=0.17, µpop=0.48)</t>
  </si>
  <si>
    <t>0.04 - 6.58 (m=0.35, µ=0.40)</t>
  </si>
  <si>
    <t>0.55 - 1.26 (m=0.67, µ=0.75)</t>
  </si>
  <si>
    <t>0.82 - 10.47 (m=1.66, µ=1.76, µadj=2.07)</t>
  </si>
  <si>
    <t>0.01 - 3.18 (m=0.08, µ=0.12, µpop=0.42)</t>
  </si>
  <si>
    <t>0.03 - 6.16 (m=0.30, µ=0.34)</t>
  </si>
  <si>
    <t>0.41 - 0.94 (m=0.49, µ=0.55)</t>
  </si>
  <si>
    <t>0.81 - 10.74 (m=1.51, µ=1.65, µadj=1.96)</t>
  </si>
  <si>
    <t>0.00 - 2.29 (m=0.05, µ=0.08, µpop=0.30)</t>
  </si>
  <si>
    <t>0.60 - 7.18 (m=1.13, µ=1.24, µadj=1.46)</t>
  </si>
  <si>
    <t>0.02 - 7.13 (m=0.26, µ=0.34, µpop=0.96)</t>
  </si>
  <si>
    <t>0.04 - 7.17 (m=0.38, µ=0.43)</t>
  </si>
  <si>
    <t>0.60 - 1.38 (m=0.73, µ=0.82)</t>
  </si>
  <si>
    <t>0.90 - 14.34 (m=1.89, µ=2.04, µadj=2.65)</t>
  </si>
  <si>
    <t>0.01 - 3.78 (m=0.10, µ=0.14, µpop=0.50)</t>
  </si>
  <si>
    <t>0.04 - 7.20 (m=0.35, µ=0.39)</t>
  </si>
  <si>
    <t>0.48 - 1.09 (m=0.57, µ=0.64)</t>
  </si>
  <si>
    <t>0.89 - 12.28 (m=1.67, µ=1.83, µadj=2.19)</t>
  </si>
  <si>
    <t>0.00 - 2.45 (m=0.06, µ=0.09, µpop=0.32)</t>
  </si>
  <si>
    <t>0.61 - 7.27 (m=1.13, µ=1.25, µadj=1.48)</t>
  </si>
  <si>
    <t>0.00 - 0.30 (m=0.01, µ=0.01)</t>
  </si>
  <si>
    <t>0.02 - 0.05 (m=0.02, µ=0.03)</t>
  </si>
  <si>
    <t>0.03 - 0.48 (m=0.12, µ=0.12, µadj=0.13)</t>
  </si>
  <si>
    <t>0.00 - 0.27 (m=0.01, µ=0.01)</t>
  </si>
  <si>
    <t>0.02 - 0.04 (m=0.02, µ=0.02)</t>
  </si>
  <si>
    <t>0.04 - 0.49 (m=0.12, µ=0.12, µadj=0.13)</t>
  </si>
  <si>
    <t>0.00 - 0.19 (m=0.01, µ=0.01)</t>
  </si>
  <si>
    <t>0.01 - 0.03 (m=0.01, µ=0.01)</t>
  </si>
  <si>
    <t>0.03 - 0.38 (m=0.11, µ=0.11, µadj=0.12)</t>
  </si>
  <si>
    <t>0.00 - 0.19 (m=0.01, µ=0.01, µpop=0.02)</t>
  </si>
  <si>
    <t>0.00 - 0.38 (m=0.01, µ=0.02)</t>
  </si>
  <si>
    <t>0.02 - 0.06 (m=0.03, µ=0.03)</t>
  </si>
  <si>
    <t>0.04 - 0.62 (m=0.14, µ=0.15, µadj=0.17)</t>
  </si>
  <si>
    <t>0.00 - 0.16 (m=0.00, µ=0.01, µpop=0.02)</t>
  </si>
  <si>
    <t>0.00 - 0.33 (m=0.01, µ=0.01)</t>
  </si>
  <si>
    <t>0.02 - 0.05 (m=0.02, µ=0.02)</t>
  </si>
  <si>
    <t>0.04 - 0.59 (m=0.14, µ=0.15, µadj=0.16)</t>
  </si>
  <si>
    <t>0.03 - 0.40 (m=0.12, µ=0.13, µadj=0.14)</t>
  </si>
  <si>
    <t>0.00 - 0.39 (m=0.01, µ=0.01, µpop=0.04)</t>
  </si>
  <si>
    <t>0.00 - 0.41 (m=0.02, µ=0.02)</t>
  </si>
  <si>
    <t>0.03 - 0.07 (m=0.03, µ=0.04)</t>
  </si>
  <si>
    <t>0.05 - 0.85 (m=0.16, µ=0.16, µadj=0.19)</t>
  </si>
  <si>
    <t>0.00 - 0.19 (m=0.00, µ=0.01, µpop=0.02)</t>
  </si>
  <si>
    <t>0.02 - 0.05 (m=0.03, µ=0.03)</t>
  </si>
  <si>
    <t>0.05 - 0.67 (m=0.14, µ=0.15, µadj=0.17)</t>
  </si>
  <si>
    <t>0.03 - 0.41 (m=0.12, µ=0.13, µadj=0.14)</t>
  </si>
  <si>
    <t>0.00 - 0.13 (m=0.01, µ=0.01)</t>
  </si>
  <si>
    <t>0.03 - 0.03 (m=0.03, µ=0.03)</t>
  </si>
  <si>
    <t>0.03 - 0.31 (m=0.13, µ=0.12, µadj=0.12)</t>
  </si>
  <si>
    <t>0.00 - 0.07 (m=0.00, µ=0.01)</t>
  </si>
  <si>
    <t>0.02 - 0.02 (m=0.02, µ=0.02)</t>
  </si>
  <si>
    <t>0.02 - 0.19 (m=0.10, µ=0.10, µadj=0.10)</t>
  </si>
  <si>
    <t>0.01 - 0.01 (m=0.01, µ=0.01)</t>
  </si>
  <si>
    <t>0.02 - 0.16 (m=0.09, µ=0.09, µadj=0.09)</t>
  </si>
  <si>
    <t>0.00 - 0.16 (m=0.01, µ=0.02)</t>
  </si>
  <si>
    <t>0.04 - 0.04 (m=0.04, µ=0.04)</t>
  </si>
  <si>
    <t>0.04 - 0.42 (m=0.16, µ=0.15, µadj=0.14)</t>
  </si>
  <si>
    <t>0.00 - 0.09 (m=0.00, µ=0.01)</t>
  </si>
  <si>
    <t>0.03 - 0.23 (m=0.12, µ=0.11, µadj=0.11)</t>
  </si>
  <si>
    <t>0.00 - 0.18 (m=0.01, µ=0.02)</t>
  </si>
  <si>
    <t>0.05 - 0.57 (m=0.17, µ=0.17, µadj=0.16)</t>
  </si>
  <si>
    <t>0.00 - 0.10 (m=0.01, µ=0.01)</t>
  </si>
  <si>
    <t>0.02 - 0.03 (m=0.03, µ=0.03)</t>
  </si>
  <si>
    <t>0.03 - 0.25 (m=0.13, µ=0.12, µadj=0.12)</t>
  </si>
  <si>
    <t xml:space="preserve">E85 from Dry Corn </t>
  </si>
  <si>
    <t>E85 from Dry Corn - Light Duty Auto - 2005 - NH3 Excluded - $6M Cost of Life - ¢2007</t>
  </si>
  <si>
    <t>E85 from Dry Corn - Light Duty Auto - 2030 - NH3 Excluded - $6M Cost of Life - ¢2007</t>
  </si>
  <si>
    <t>E85 from Dry Corn - Light Duty Auto - 2030 35 MPG - NH3 Excluded - $6M Cost of Life - ¢2007 - Results per Mile</t>
  </si>
  <si>
    <t>E85 from Dry Corn - Light Duty Truck 1 - 2005 - NH3 Excluded - $6M Cost of Life - ¢2007</t>
  </si>
  <si>
    <t>E85 from Dry Corn - Light Duty Truck 1 - 2030 - NH3 Excluded - $6M Cost of Life - ¢2007</t>
  </si>
  <si>
    <t>E85 from Dry Corn - Light Duty Truck 1 - 2030 35 MPG - NH3 Excluded - $6M Cost of Life - ¢2007 - Results per Mile</t>
  </si>
  <si>
    <t>E85 from Dry Corn - Light Duty Truck 2 - 2005 - NH3 Excluded - $6M Cost of Life - ¢2007</t>
  </si>
  <si>
    <t>E85 from Dry Corn - Light Duty Truck 2 - 2030 - NH3 Excluded - $6M Cost of Life - ¢2007</t>
  </si>
  <si>
    <t>E85 from Dry Corn - Light Duty Truck 2 - 2030 35 MPG - NH3 Excluded - $6M Cost of Life - ¢2007 - Results per Mile</t>
  </si>
  <si>
    <t>0.02 - 3.88 (m=0.21, µ=0.25)</t>
  </si>
  <si>
    <t>0.32 - 0.60 (m=0.37, µ=0.40)</t>
  </si>
  <si>
    <t>0.57 - 7.31 (m=1.22, µ=1.29, µadj=1.52)</t>
  </si>
  <si>
    <t>0.02 - 3.61 (m=0.18, µ=0.21)</t>
  </si>
  <si>
    <t>0.30 - 0.57 (m=0.34, µ=0.37)</t>
  </si>
  <si>
    <t>0.67 - 7.48 (m=1.26, µ=1.38, µadj=1.64)</t>
  </si>
  <si>
    <t>0.01 - 2.47 (m=0.12, µ=0.14)</t>
  </si>
  <si>
    <t>0.21 - 0.39 (m=0.23, µ=0.25)</t>
  </si>
  <si>
    <t>0.56 - 5.84 (m=1.08, µ=1.18, µadj=1.39)</t>
  </si>
  <si>
    <t>0.03 - 4.96 (m=0.27, µ=0.31)</t>
  </si>
  <si>
    <t>0.40 - 0.76 (m=0.47, µ=0.51)</t>
  </si>
  <si>
    <t>0.72 - 9.58 (m=1.54, µ=1.63, µadj=1.95)</t>
  </si>
  <si>
    <t>0.02 - 4.30 (m=0.21, µ=0.25)</t>
  </si>
  <si>
    <t>0.36 - 0.68 (m=0.41, µ=0.44)</t>
  </si>
  <si>
    <t>0.81 - 8.86 (m=1.50, µ=1.65, µadj=1.96)</t>
  </si>
  <si>
    <t>0.63 - 6.18 (m=1.21, µ=1.32, µadj=1.54)</t>
  </si>
  <si>
    <t>0.03 - 5.40 (m=0.30, µ=0.34)</t>
  </si>
  <si>
    <t>0.44 - 0.83 (m=0.52, µ=0.56)</t>
  </si>
  <si>
    <t>0.79 - 13.80 (m=1.78, µ=1.90, µadj=2.54)</t>
  </si>
  <si>
    <t>0.02 - 5.02 (m=0.25, µ=0.29)</t>
  </si>
  <si>
    <t>0.42 - 0.79 (m=0.48, µ=0.51)</t>
  </si>
  <si>
    <t>0.88 - 10.06 (m=1.63, µ=1.79, µadj=2.17)</t>
  </si>
  <si>
    <t>0.63 - 6.27 (m=1.21, µ=1.32, µadj=1.57)</t>
  </si>
  <si>
    <t>0.02 - 3.65 (m=0.20, µ=0.23)</t>
  </si>
  <si>
    <t>0.27 - 0.54 (m=0.32, µ=0.35)</t>
  </si>
  <si>
    <t>0.47 - 6.76 (m=1.00, µ=1.07, µadj=1.29)</t>
  </si>
  <si>
    <t>0.02 - 3.42 (m=0.17, µ=0.19)</t>
  </si>
  <si>
    <t>0.27 - 0.52 (m=0.31, µ=0.33)</t>
  </si>
  <si>
    <t>0.57 - 7.04 (m=1.06, µ=1.17, µadj=1.42)</t>
  </si>
  <si>
    <t>0.01 - 2.34 (m=0.11, µ=0.13)</t>
  </si>
  <si>
    <t>0.18 - 0.36 (m=0.21, µ=0.23)</t>
  </si>
  <si>
    <t>0.48 - 5.49 (m=0.89, µ=0.98, µadj=1.18)</t>
  </si>
  <si>
    <t>0.03 - 4.66 (m=0.25, µ=0.29)</t>
  </si>
  <si>
    <t>0.35 - 0.69 (m=0.41, µ=0.45)</t>
  </si>
  <si>
    <t>0.59 - 8.86 (m=1.27, µ=1.35, µadj=1.66)</t>
  </si>
  <si>
    <t>0.02 - 4.07 (m=0.20, µ=0.23)</t>
  </si>
  <si>
    <t>0.32 - 0.62 (m=0.36, µ=0.40)</t>
  </si>
  <si>
    <t>0.69 - 8.33 (m=1.27, µ=1.39, µadj=1.70)</t>
  </si>
  <si>
    <t>0.54 - 5.80 (m=0.99, µ=1.09, µadj=1.31)</t>
  </si>
  <si>
    <t>0.03 - 5.09 (m=0.27, µ=0.32)</t>
  </si>
  <si>
    <t>0.38 - 0.75 (m=0.45, µ=0.49)</t>
  </si>
  <si>
    <t>0.66 - 12.85 (m=1.46, µ=1.59, µadj=2.21)</t>
  </si>
  <si>
    <t>0.02 - 4.75 (m=0.23, µ=0.27)</t>
  </si>
  <si>
    <t>0.37 - 0.73 (m=0.43, µ=0.46)</t>
  </si>
  <si>
    <t>0.76 - 9.46 (m=1.38, µ=1.53, µadj=1.88)</t>
  </si>
  <si>
    <t>0.54 - 5.89 (m=1.00, µ=1.10, µadj=1.33)</t>
  </si>
  <si>
    <t>0.00 - 0.21 (m=0.01, µ=0.01)</t>
  </si>
  <si>
    <t>0.01 - 0.03 (m=0.01, µ=0.02)</t>
  </si>
  <si>
    <t>0.03 - 0.42 (m=0.10, µ=0.11, µadj=0.12)</t>
  </si>
  <si>
    <t>0.00 - 0.18 (m=0.01, µ=0.01)</t>
  </si>
  <si>
    <t>0.03 - 0.39 (m=0.11, µ=0.11, µadj=0.12)</t>
  </si>
  <si>
    <t>0.01 - 0.02 (m=0.01, µ=0.01)</t>
  </si>
  <si>
    <t>0.02 - 0.03 (m=0.02, µ=0.02)</t>
  </si>
  <si>
    <t>0.03 - 0.55 (m=0.13, µ=0.13, µadj=0.15)</t>
  </si>
  <si>
    <t>0.01 - 0.03 (m=0.02, µ=0.02)</t>
  </si>
  <si>
    <t>0.04 - 0.46 (m=0.13, µ=0.13, µadj=0.15)</t>
  </si>
  <si>
    <t>0.03 - 0.34 (m=0.12, µ=0.12, µadj=0.13)</t>
  </si>
  <si>
    <t>0.00 - 0.29 (m=0.01, µ=0.01)</t>
  </si>
  <si>
    <t>0.04 - 0.77 (m=0.13, µ=0.14, µadj=0.17)</t>
  </si>
  <si>
    <t>0.00 - 0.25 (m=0.01, µ=0.01)</t>
  </si>
  <si>
    <t>0.04 - 0.52 (m=0.13, µ=0.14, µadj=0.16)</t>
  </si>
  <si>
    <t>0.04 - 0.28 (m=0.12, µ=0.12, µadj=0.12)</t>
  </si>
  <si>
    <t>0.03 - 0.18 (m=0.10, µ=0.10, µadj=0.10)</t>
  </si>
  <si>
    <t>0.00 - 0.12 (m=0.01, µ=0.01)</t>
  </si>
  <si>
    <t>0.05 - 0.38 (m=0.16, µ=0.15, µadj=0.14)</t>
  </si>
  <si>
    <t>0.03 - 0.21 (m=0.12, µ=0.12, µadj=0.12)</t>
  </si>
  <si>
    <t>0.04 - 0.05 (m=0.04, µ=0.04)</t>
  </si>
  <si>
    <t>0.05 - 0.53 (m=0.17, µ=0.17, µadj=0.16)</t>
  </si>
  <si>
    <t>0.04 - 0.23 (m=0.13, µ=0.12, µadj=0.12)</t>
  </si>
  <si>
    <t>0.02 - 0.19 (m=0.11, µ=0.10, µadj=0.10)</t>
  </si>
  <si>
    <t xml:space="preserve">E85 from Herbaceous </t>
  </si>
  <si>
    <t>E85 from Herbaceous - Light Duty Auto - 2005 - NH3 Excluded - $6M Cost of Life - ¢2007</t>
  </si>
  <si>
    <t>E85 from Herbaceous - Light Duty Auto - 2030 - NH3 Excluded - $6M Cost of Life - ¢2007</t>
  </si>
  <si>
    <t>E85 from Herbaceous - Light Duty Auto - 2030 35 MPG - NH3 Excluded - $6M Cost of Life - ¢2007 - Results per Mile</t>
  </si>
  <si>
    <t>E85 from Herbaceous - Light Duty Truck 1 - 2005 - NH3 Excluded - $6M Cost of Life - ¢2007</t>
  </si>
  <si>
    <t>E85 from Herbaceous - Light Duty Truck 1 - 2030 - NH3 Excluded - $6M Cost of Life - ¢2007</t>
  </si>
  <si>
    <t>E85 from Herbaceous - Light Duty Truck 1 - 2030 35 MPG - NH3 Excluded - $6M Cost of Life - ¢2007 - Results per Mile</t>
  </si>
  <si>
    <t>E85 from Herbaceous - Light Duty Truck 2 - 2005 - NH3 Excluded - $6M Cost of Life - ¢2007</t>
  </si>
  <si>
    <t>E85 from Herbaceous - Light Duty Truck 2 - 2030 - NH3 Excluded - $6M Cost of Life - ¢2007</t>
  </si>
  <si>
    <t>E85 from Herbaceous - Light Duty Truck 2 - 2030 35 MPG - NH3 Excluded - $6M Cost of Life - ¢2007 - Results per Mile</t>
  </si>
  <si>
    <t>0.01 - 2.75 (m=0.10, µ=0.13, µpop=0.36)</t>
  </si>
  <si>
    <t>0.01 - 1.89 (m=0.11, µ=0.13)</t>
  </si>
  <si>
    <t>0.16 - 0.23 (m=0.19, µ=0.19)</t>
  </si>
  <si>
    <t>0.40 - 5.45 (m=0.92, µ=0.96, µadj=1.20)</t>
  </si>
  <si>
    <t>0.01 - 1.29 (m=0.08, µ=0.10)</t>
  </si>
  <si>
    <t>0.20 - 0.28 (m=0.22, µ=0.23)</t>
  </si>
  <si>
    <t>0.55 - 5.08 (m=1.04, µ=1.13, µadj=1.39)</t>
  </si>
  <si>
    <t>0.00 - 2.21 (m=0.05, µ=0.08, µpop=0.29)</t>
  </si>
  <si>
    <t>0.00 - 0.88 (m=0.05, µ=0.07)</t>
  </si>
  <si>
    <t>0.14 - 0.19 (m=0.15, µ=0.16)</t>
  </si>
  <si>
    <t>0.47 - 4.06 (m=0.92, µ=1.01, µadj=1.22)</t>
  </si>
  <si>
    <t>0.01 - 3.81 (m=0.15, µ=0.19, µpop=0.52)</t>
  </si>
  <si>
    <t>0.01 - 2.41 (m=0.13, µ=0.16)</t>
  </si>
  <si>
    <t>0.21 - 0.29 (m=0.24, µ=0.25)</t>
  </si>
  <si>
    <t>0.50 - 7.20 (m=1.16, µ=1.21, µadj=1.54)</t>
  </si>
  <si>
    <t>0.01 - 3.38 (m=0.09, µ=0.13, µpop=0.45)</t>
  </si>
  <si>
    <t>0.01 - 1.53 (m=0.10, µ=0.11)</t>
  </si>
  <si>
    <t>0.24 - 0.34 (m=0.26, µ=0.27)</t>
  </si>
  <si>
    <t>0.67 - 6.15 (m=1.24, µ=1.35, µadj=1.67)</t>
  </si>
  <si>
    <t>0.00 - 2.43 (m=0.06, µ=0.09, µpop=0.32)</t>
  </si>
  <si>
    <t>0.54 - 4.42 (m=1.05, µ=1.15, µadj=1.38)</t>
  </si>
  <si>
    <t>0.02 - 7.57 (m=0.30, µ=0.39, µpop=1.03)</t>
  </si>
  <si>
    <t>0.01 - 2.63 (m=0.15, µ=0.17)</t>
  </si>
  <si>
    <t>0.23 - 0.32 (m=0.26, µ=0.27)</t>
  </si>
  <si>
    <t>0.55 - 11.20 (m=1.37, µ=1.44, µadj=2.08)</t>
  </si>
  <si>
    <t>0.01 - 4.01 (m=0.11, µ=0.15, µpop=0.54)</t>
  </si>
  <si>
    <t>0.01 - 1.79 (m=0.11, µ=0.13)</t>
  </si>
  <si>
    <t>0.28 - 0.39 (m=0.31, µ=0.32)</t>
  </si>
  <si>
    <t>0.71 - 7.10 (m=1.33, µ=1.44, µadj=1.83)</t>
  </si>
  <si>
    <t>0.54 - 4.58 (m=1.06, µ=1.15, µadj=1.40)</t>
  </si>
  <si>
    <t>0.01 - 2.60 (m=0.09, µ=0.11, µpop=0.34)</t>
  </si>
  <si>
    <t>0.01 - 1.78 (m=0.10, µ=0.11)</t>
  </si>
  <si>
    <t>0.13 - 0.19 (m=0.15, µ=0.16)</t>
  </si>
  <si>
    <t>0.31 - 5.00 (m=0.71, µ=0.76, µadj=0.99)</t>
  </si>
  <si>
    <t>0.01 - 1.22 (m=0.07, µ=0.09)</t>
  </si>
  <si>
    <t>0.17 - 0.25 (m=0.19, µ=0.20)</t>
  </si>
  <si>
    <t>0.46 - 4.66 (m=0.85, µ=0.94, µadj=1.18)</t>
  </si>
  <si>
    <t>0.00 - 2.10 (m=0.05, µ=0.07, µpop=0.27)</t>
  </si>
  <si>
    <t>0.00 - 0.83 (m=0.05, µ=0.06)</t>
  </si>
  <si>
    <t>0.12 - 0.17 (m=0.13, µ=0.14)</t>
  </si>
  <si>
    <t>0.40 - 3.78 (m=0.75, µ=0.82, µadj=1.02)</t>
  </si>
  <si>
    <t>0.01 - 3.60 (m=0.13, µ=0.17, µpop=0.49)</t>
  </si>
  <si>
    <t>0.01 - 2.28 (m=0.12, µ=0.15)</t>
  </si>
  <si>
    <t>0.39 - 6.61 (m=0.90, µ=0.96, µadj=1.28)</t>
  </si>
  <si>
    <t>0.01 - 3.20 (m=0.08, µ=0.12, µpop=0.42)</t>
  </si>
  <si>
    <t>0.01 - 1.45 (m=0.09, µ=0.11)</t>
  </si>
  <si>
    <t>0.20 - 0.30 (m=0.23, µ=0.24)</t>
  </si>
  <si>
    <t>0.56 - 5.65 (m=1.02, µ=1.11, µadj=1.42)</t>
  </si>
  <si>
    <t>0.00 - 2.31 (m=0.05, µ=0.08, µpop=0.30)</t>
  </si>
  <si>
    <t>0.46 - 4.09 (m=0.85, µ=0.93, µadj=1.15)</t>
  </si>
  <si>
    <t>0.02 - 7.15 (m=0.26, µ=0.34, µpop=0.96)</t>
  </si>
  <si>
    <t>0.01 - 2.48 (m=0.13, µ=0.16)</t>
  </si>
  <si>
    <t>0.18 - 0.27 (m=0.21, µ=0.22)</t>
  </si>
  <si>
    <t>0.44 - 10.40 (m=1.07, µ=1.17, µadj=1.78)</t>
  </si>
  <si>
    <t>0.01 - 3.81 (m=0.10, µ=0.14, µpop=0.51)</t>
  </si>
  <si>
    <t>0.01 - 1.69 (m=0.10, µ=0.12)</t>
  </si>
  <si>
    <t>0.24 - 0.35 (m=0.26, µ=0.28)</t>
  </si>
  <si>
    <t>0.60 - 6.54 (m=1.09, µ=1.20, µadj=1.56)</t>
  </si>
  <si>
    <t>0.00 - 2.46 (m=0.06, µ=0.09, µpop=0.32)</t>
  </si>
  <si>
    <t>0.46 - 4.18 (m=0.85, µ=0.94, µadj=1.17)</t>
  </si>
  <si>
    <t>0.02 - 0.33 (m=0.09, µ=0.09, µadj=0.11)</t>
  </si>
  <si>
    <t>0.02 - 0.26 (m=0.09, µ=0.10, µadj=0.11)</t>
  </si>
  <si>
    <t>0.02 - 0.44 (m=0.11, µ=0.11, µadj=0.13)</t>
  </si>
  <si>
    <t>0.03 - 0.37 (m=0.12, µ=0.12, µadj=0.14)</t>
  </si>
  <si>
    <t>0.02 - 0.29 (m=0.11, µ=0.11, µadj=0.12)</t>
  </si>
  <si>
    <t>0.00 - 0.39 (m=0.01, µ=0.01, µpop=0.05)</t>
  </si>
  <si>
    <t>0.02 - 0.64 (m=0.12, µ=0.12, µadj=0.15)</t>
  </si>
  <si>
    <t>0.03 - 0.42 (m=0.12, µ=0.13, µadj=0.14)</t>
  </si>
  <si>
    <t>0.00 - 0.12 (m=0.00, µ=0.00, µpop=0.02)</t>
  </si>
  <si>
    <t>0.02 - 0.29 (m=0.11, µ=0.11, µadj=0.13)</t>
  </si>
  <si>
    <t>0.03 - 0.24 (m=0.11, µ=0.11, µadj=0.11)</t>
  </si>
  <si>
    <t>0.02 - 0.17 (m=0.10, µ=0.10, µadj=0.10)</t>
  </si>
  <si>
    <t>0.00 - 0.08 (m=0.00, µ=0.01)</t>
  </si>
  <si>
    <t>0.03 - 0.04 (m=0.03, µ=0.04)</t>
  </si>
  <si>
    <t>0.04 - 0.34 (m=0.15, µ=0.14, µadj=0.13)</t>
  </si>
  <si>
    <t>0.03 - 0.20 (m=0.12, µ=0.11, µadj=0.11)</t>
  </si>
  <si>
    <t>0.02 - 0.18 (m=0.10, µ=0.10, µadj=0.10)</t>
  </si>
  <si>
    <t>0.05 - 0.48 (m=0.16, µ=0.15, µadj=0.15)</t>
  </si>
  <si>
    <t xml:space="preserve">E85 from Corn Stover </t>
  </si>
  <si>
    <t>E85 from Corn Stover - Light Duty Auto - 2005 - NH3 Excluded - $6M Cost of Life - ¢2007</t>
  </si>
  <si>
    <t>E85 from Corn Stover - Light Duty Auto - 2030 - NH3 Excluded - $6M Cost of Life - ¢2007</t>
  </si>
  <si>
    <t>E85 from Corn Stover - Light Duty Auto - 2030 35 MPG - NH3 Excluded - $6M Cost of Life - ¢2007 - Results per Mile</t>
  </si>
  <si>
    <t>E85 from Corn Stover - Light Duty Truck 1 - 2005 - NH3 Excluded - $6M Cost of Life - ¢2007</t>
  </si>
  <si>
    <t>E85 from Corn Stover - Light Duty Truck 1 - 2030 - NH3 Excluded - $6M Cost of Life - ¢2007</t>
  </si>
  <si>
    <t>E85 from Corn Stover - Light Duty Truck 1 - 2030 35 MPG - NH3 Excluded - $6M Cost of Life - ¢2007 - Results per Mile</t>
  </si>
  <si>
    <t>E85 from Corn Stover - Light Duty Truck 2 - 2005 - NH3 Excluded - $6M Cost of Life - ¢2007</t>
  </si>
  <si>
    <t>E85 from Corn Stover - Light Duty Truck 2 - 2030 - NH3 Excluded - $6M Cost of Life - ¢2007</t>
  </si>
  <si>
    <t>E85 from Corn Stover - Light Duty Truck 2 - 2030 35 MPG - NH3 Excluded - $6M Cost of Life - ¢2007 - Results per Mile</t>
  </si>
  <si>
    <t>0.01 - 2.73 (m=0.10, µ=0.13, µpop=0.36)</t>
  </si>
  <si>
    <t>0.01 - 2.35 (m=0.13, µ=0.15)</t>
  </si>
  <si>
    <t>0.16 - 0.22 (m=0.18, µ=0.19)</t>
  </si>
  <si>
    <t>0.39 - 5.78 (m=0.93, µ=0.98, µadj=1.21)</t>
  </si>
  <si>
    <t>0.01 - 2.71 (m=0.07, µ=0.10, µpop=0.35)</t>
  </si>
  <si>
    <t>0.01 - 2.14 (m=0.10, µ=0.12)</t>
  </si>
  <si>
    <t>0.19 - 0.27 (m=0.21, µ=0.22)</t>
  </si>
  <si>
    <t>0.55 - 5.70 (m=1.04, µ=1.14, µadj=1.40)</t>
  </si>
  <si>
    <t>0.01 - 1.46 (m=0.07, µ=0.08)</t>
  </si>
  <si>
    <t>0.13 - 0.19 (m=0.15, µ=0.15)</t>
  </si>
  <si>
    <t>0.47 - 4.63 (m=0.92, µ=1.02, µadj=1.22)</t>
  </si>
  <si>
    <t>0.01 - 3.78 (m=0.15, µ=0.19, µpop=0.51)</t>
  </si>
  <si>
    <t>0.02 - 3.01 (m=0.16, µ=0.19)</t>
  </si>
  <si>
    <t>0.20 - 0.28 (m=0.23, µ=0.24)</t>
  </si>
  <si>
    <t>0.49 - 7.62 (m=1.17, µ=1.23, µadj=1.55)</t>
  </si>
  <si>
    <t>0.01 - 3.35 (m=0.09, µ=0.12, µpop=0.44)</t>
  </si>
  <si>
    <t>0.01 - 2.54 (m=0.12, µ=0.14)</t>
  </si>
  <si>
    <t>0.23 - 0.32 (m=0.25, µ=0.26)</t>
  </si>
  <si>
    <t>0.66 - 6.74 (m=1.25, µ=1.36, µadj=1.68)</t>
  </si>
  <si>
    <t>0.00 - 2.41 (m=0.06, µ=0.09, µpop=0.31)</t>
  </si>
  <si>
    <t>0.54 - 4.96 (m=1.05, µ=1.15, µadj=1.38)</t>
  </si>
  <si>
    <t>0.02 - 7.54 (m=0.30, µ=0.38, µpop=1.02)</t>
  </si>
  <si>
    <t>0.02 - 3.28 (m=0.18, µ=0.21)</t>
  </si>
  <si>
    <t>0.22 - 0.31 (m=0.25, µ=0.26)</t>
  </si>
  <si>
    <t>0.54 - 11.66 (m=1.38, µ=1.46, µadj=2.10)</t>
  </si>
  <si>
    <t>0.01 - 2.97 (m=0.14, µ=0.16)</t>
  </si>
  <si>
    <t>0.27 - 0.38 (m=0.30, µ=0.31)</t>
  </si>
  <si>
    <t>0.71 - 7.58 (m=1.33, µ=1.46, µadj=1.83)</t>
  </si>
  <si>
    <t>0.01 - 2.57 (m=0.06, µ=0.09, µpop=0.34)</t>
  </si>
  <si>
    <t>0.54 - 5.05 (m=1.06, µ=1.16, µadj=1.40)</t>
  </si>
  <si>
    <t>0.01 - 2.58 (m=0.09, µ=0.11, µpop=0.34)</t>
  </si>
  <si>
    <t>0.01 - 2.21 (m=0.12, µ=0.14)</t>
  </si>
  <si>
    <t>0.31 - 5.31 (m=0.73, µ=0.78, µadj=1.00)</t>
  </si>
  <si>
    <t>0.01 - 2.02 (m=0.09, µ=0.11)</t>
  </si>
  <si>
    <t>0.16 - 0.24 (m=0.18, µ=0.19)</t>
  </si>
  <si>
    <t>0.46 - 5.35 (m=0.85, µ=0.95, µadj=1.19)</t>
  </si>
  <si>
    <t>0.01 - 1.38 (m=0.06, µ=0.07)</t>
  </si>
  <si>
    <t>0.11 - 0.16 (m=0.13, µ=0.13)</t>
  </si>
  <si>
    <t>0.40 - 4.34 (m=0.75, µ=0.83, µadj=1.03)</t>
  </si>
  <si>
    <t>0.02 - 2.83 (m=0.15, µ=0.17)</t>
  </si>
  <si>
    <t>0.16 - 0.24 (m=0.19, µ=0.19)</t>
  </si>
  <si>
    <t>0.39 - 7.01 (m=0.92, µ=0.98, µadj=1.29)</t>
  </si>
  <si>
    <t>0.01 - 2.41 (m=0.11, µ=0.13)</t>
  </si>
  <si>
    <t>0.19 - 0.29 (m=0.22, µ=0.23)</t>
  </si>
  <si>
    <t>0.56 - 6.32 (m=1.02, µ=1.13, µadj=1.43)</t>
  </si>
  <si>
    <t>0.46 - 4.65 (m=0.85, µ=0.94, µadj=1.16)</t>
  </si>
  <si>
    <t>0.02 - 3.09 (m=0.16, µ=0.19)</t>
  </si>
  <si>
    <t>0.17 - 0.26 (m=0.20, µ=0.21)</t>
  </si>
  <si>
    <t>0.43 - 10.83 (m=1.09, µ=1.19, µadj=1.80)</t>
  </si>
  <si>
    <t>0.01 - 3.77 (m=0.10, µ=0.14, µpop=0.50)</t>
  </si>
  <si>
    <t>0.01 - 2.81 (m=0.13, µ=0.15)</t>
  </si>
  <si>
    <t>0.23 - 0.33 (m=0.26, µ=0.27)</t>
  </si>
  <si>
    <t>0.60 - 7.12 (m=1.10, µ=1.21, µadj=1.57)</t>
  </si>
  <si>
    <t>0.00 - 2.44 (m=0.06, µ=0.09, µpop=0.32)</t>
  </si>
  <si>
    <t>0.46 - 4.73 (m=0.86, µ=0.95, µadj=1.18)</t>
  </si>
  <si>
    <t>0.00 - 0.13 (m=0.00, µ=0.01)</t>
  </si>
  <si>
    <t>0.02 - 0.35 (m=0.09, µ=0.09, µadj=0.11)</t>
  </si>
  <si>
    <t>0.00 - 0.11 (m=0.00, µ=0.00)</t>
  </si>
  <si>
    <t>0.00 - 0.10 (m=0.00, µ=0.00, µpop=0.01)</t>
  </si>
  <si>
    <t>0.00 - 0.16 (m=0.01, µ=0.01)</t>
  </si>
  <si>
    <t>0.02 - 0.46 (m=0.11, µ=0.12, µadj=0.13)</t>
  </si>
  <si>
    <t>0.00 - 0.16 (m=0.00, µ=0.00, µpop=0.02)</t>
  </si>
  <si>
    <t>0.03 - 0.38 (m=0.12, µ=0.12, µadj=0.14)</t>
  </si>
  <si>
    <t>0.02 - 0.66 (m=0.12, µ=0.12, µadj=0.15)</t>
  </si>
  <si>
    <t>0.00 - 0.15 (m=0.01, µ=0.01)</t>
  </si>
  <si>
    <t>0.03 - 0.43 (m=0.12, µ=0.13, µadj=0.14)</t>
  </si>
  <si>
    <t>0.02 - 0.30 (m=0.11, µ=0.11, µadj=0.13)</t>
  </si>
  <si>
    <t>0.03 - 0.23 (m=0.11, µ=0.11, µadj=0.11)</t>
  </si>
  <si>
    <t>0.02 - 0.17 (m=0.10, µ=0.09, µadj=0.09)</t>
  </si>
  <si>
    <t>0.02 - 0.15 (m=0.09, µ=0.09, µadj=0.09)</t>
  </si>
  <si>
    <t>0.03 - 0.04 (m=0.03, µ=0.03)</t>
  </si>
  <si>
    <t>0.04 - 0.33 (m=0.14, µ=0.13, µadj=0.13)</t>
  </si>
  <si>
    <t>0.02 - 0.03 (m=0.02, µ=0.03)</t>
  </si>
  <si>
    <t>0.04 - 0.47 (m=0.16, µ=0.15, µadj=0.14)</t>
  </si>
  <si>
    <t xml:space="preserve">CIDI with Low Sulfur Diesel </t>
  </si>
  <si>
    <t>CIDI with Low Sulfur Diesel - Light Duty Auto - 2005 - NH3 Excluded - $6M Cost of Life - ¢2007</t>
  </si>
  <si>
    <t>CIDI with Low Sulfur Diesel - Light Duty Auto - 2030 - NH3 Excluded - $6M Cost of Life - ¢2007</t>
  </si>
  <si>
    <t>CIDI with Low Sulfur Diesel - Light Duty Auto - 2030 35 MPG - NH3 Excluded - $6M Cost of Life - ¢2007 - Results per Mile</t>
  </si>
  <si>
    <t>CIDI with Low Sulfur Diesel - Light Duty Truck 1 - 2005 - NH3 Excluded - $6M Cost of Life - ¢2007</t>
  </si>
  <si>
    <t>CIDI with Low Sulfur Diesel - Light Duty Truck 1 - 2030 - NH3 Excluded - $6M Cost of Life - ¢2007</t>
  </si>
  <si>
    <t>CIDI with Low Sulfur Diesel - Light Duty Truck 1 - 2030 35 MPG - NH3 Excluded - $6M Cost of Life - ¢2007 - Results per Mile</t>
  </si>
  <si>
    <t>CIDI with Low Sulfur Diesel - Light Duty Truck 2 - 2005 - NH3 Excluded - $6M Cost of Life - ¢2007</t>
  </si>
  <si>
    <t>CIDI with Low Sulfur Diesel - Light Duty Truck 2 - 2030 - NH3 Excluded - $6M Cost of Life - ¢2007</t>
  </si>
  <si>
    <t>CIDI with Low Sulfur Diesel - Light Duty Truck 2 - 2030 35 MPG - NH3 Excluded - $6M Cost of Life - ¢2007 - Results per Mile</t>
  </si>
  <si>
    <t>0.01 - 5.82 (m=0.15, µ=0.21, µpop=0.69)</t>
  </si>
  <si>
    <t>0.01 - 0.89 (m=0.05, µ=0.06)</t>
  </si>
  <si>
    <t>0.06 - 0.65 (m=0.16, µ=0.22)</t>
  </si>
  <si>
    <t>0.30 - 7.57 (m=0.90, µ=1.00, µadj=1.49)</t>
  </si>
  <si>
    <t>0.00 - 2.13 (m=0.06, µ=0.08, µpop=0.29)</t>
  </si>
  <si>
    <t>0.08 - 0.67 (m=0.16, µ=0.21)</t>
  </si>
  <si>
    <t>0.43 - 4.69 (m=0.96, µ=1.07, µadj=1.27)</t>
  </si>
  <si>
    <t>0.00 - 1.87 (m=0.05, µ=0.07, µpop=0.25)</t>
  </si>
  <si>
    <t>0.07 - 0.55 (m=0.13, µ=0.17)</t>
  </si>
  <si>
    <t>0.40 - 4.22 (m=0.91, µ=1.01, µadj=1.19)</t>
  </si>
  <si>
    <t>0.02 - 7.03 (m=0.23, µ=0.30, µpop=0.89)</t>
  </si>
  <si>
    <t>0.01 - 1.14 (m=0.07, µ=0.08)</t>
  </si>
  <si>
    <t>0.08 - 0.83 (m=0.20, µ=0.28)</t>
  </si>
  <si>
    <t>0.38 - 9.22 (m=1.15, µ=1.27, µadj=1.86)</t>
  </si>
  <si>
    <t>0.01 - 2.66 (m=0.08, µ=0.11, µpop=0.36)</t>
  </si>
  <si>
    <t>0.10 - 0.80 (m=0.19, µ=0.25)</t>
  </si>
  <si>
    <t>0.52 - 5.53 (m=1.15, µ=1.28, µadj=1.53)</t>
  </si>
  <si>
    <t>0.00 - 2.04 (m=0.06, µ=0.08, µpop=0.27)</t>
  </si>
  <si>
    <t>0.47 - 4.51 (m=1.04, µ=1.15, µadj=1.34)</t>
  </si>
  <si>
    <t>0.02 - 8.29 (m=0.31, µ=0.40, µpop=1.10)</t>
  </si>
  <si>
    <t>0.01 - 1.24 (m=0.07, µ=0.09)</t>
  </si>
  <si>
    <t>0.09 - 0.91 (m=0.22, µ=0.30)</t>
  </si>
  <si>
    <t>0.40 - 10.62 (m=1.28, µ=1.40, µadj=2.10)</t>
  </si>
  <si>
    <t>0.01 - 3.21 (m=0.10, µ=0.14, µpop=0.44)</t>
  </si>
  <si>
    <t>0.01 - 1.51 (m=0.08, µ=0.10)</t>
  </si>
  <si>
    <t>0.12 - 0.94 (m=0.22, µ=0.30)</t>
  </si>
  <si>
    <t>0.55 - 6.19 (m=1.22, µ=1.36, µadj=1.67)</t>
  </si>
  <si>
    <t>0.00 - 2.17 (m=0.06, µ=0.09, µpop=0.29)</t>
  </si>
  <si>
    <t>0.47 - 4.58 (m=1.05, µ=1.15, µadj=1.36)</t>
  </si>
  <si>
    <t>0.01 - 5.51 (m=0.13, µ=0.19, µpop=0.66)</t>
  </si>
  <si>
    <t>0.01 - 0.84 (m=0.05, µ=0.06)</t>
  </si>
  <si>
    <t>0.06 - 0.61 (m=0.15, µ=0.20)</t>
  </si>
  <si>
    <t>0.24 - 7.04 (m=0.72, µ=0.82, µadj=1.29)</t>
  </si>
  <si>
    <t>0.00 - 2.02 (m=0.05, µ=0.08, µpop=0.27)</t>
  </si>
  <si>
    <t>0.08 - 0.64 (m=0.15, µ=0.20)</t>
  </si>
  <si>
    <t>0.36 - 4.42 (m=0.77, µ=0.90, µadj=1.09)</t>
  </si>
  <si>
    <t>0.00 - 1.77 (m=0.05, µ=0.07, µpop=0.24)</t>
  </si>
  <si>
    <t>0.06 - 0.52 (m=0.12, µ=0.17)</t>
  </si>
  <si>
    <t>0.35 - 3.97 (m=0.73, µ=0.84, µadj=1.01)</t>
  </si>
  <si>
    <t>0.02 - 6.65 (m=0.21, µ=0.27, µpop=0.84)</t>
  </si>
  <si>
    <t>0.08 - 0.78 (m=0.19, µ=0.26)</t>
  </si>
  <si>
    <t>0.30 - 8.57 (m=0.94, µ=1.05, µadj=1.62)</t>
  </si>
  <si>
    <t>0.01 - 2.52 (m=0.07, µ=0.10, µpop=0.34)</t>
  </si>
  <si>
    <t>0.01 - 1.22 (m=0.06, µ=0.08)</t>
  </si>
  <si>
    <t>0.09 - 0.76 (m=0.18, µ=0.24)</t>
  </si>
  <si>
    <t>0.45 - 5.20 (m=0.93, µ=1.07, µadj=1.31)</t>
  </si>
  <si>
    <t>0.00 - 1.93 (m=0.05, µ=0.08, µpop=0.26)</t>
  </si>
  <si>
    <t>0.41 - 4.24 (m=0.83, µ=0.95, µadj=1.13)</t>
  </si>
  <si>
    <t>0.02 - 7.84 (m=0.27, µ=0.36, µpop=1.03)</t>
  </si>
  <si>
    <t>0.01 - 1.17 (m=0.07, µ=0.08)</t>
  </si>
  <si>
    <t>0.08 - 0.85 (m=0.21, µ=0.28)</t>
  </si>
  <si>
    <t>0.33 - 9.88 (m=1.04, µ=1.16, µadj=1.84)</t>
  </si>
  <si>
    <t>0.01 - 3.05 (m=0.09, µ=0.13, µpop=0.42)</t>
  </si>
  <si>
    <t>0.11 - 0.89 (m=0.21, µ=0.28)</t>
  </si>
  <si>
    <t>0.47 - 5.83 (m=0.99, µ=1.15, µadj=1.44)</t>
  </si>
  <si>
    <t>0.00 - 2.06 (m=0.06, µ=0.08, µpop=0.28)</t>
  </si>
  <si>
    <t>0.41 - 4.30 (m=0.84, µ=0.95, µadj=1.15)</t>
  </si>
  <si>
    <t>0.00 - 0.28 (m=0.01, µ=0.01, µpop=0.03)</t>
  </si>
  <si>
    <t>0.01 - 0.43 (m=0.09, µ=0.10, µadj=0.12)</t>
  </si>
  <si>
    <t>0.00 - 0.09 (m=0.00, µ=0.00, µpop=0.01)</t>
  </si>
  <si>
    <t>0.02 - 0.25 (m=0.09, µ=0.10, µadj=0.11)</t>
  </si>
  <si>
    <t>0.00 - 0.35 (m=0.01, µ=0.01, µpop=0.04)</t>
  </si>
  <si>
    <t>0.02 - 0.53 (m=0.11, µ=0.12, µadj=0.15)</t>
  </si>
  <si>
    <t>0.02 - 0.29 (m=0.11, µ=0.12, µadj=0.12)</t>
  </si>
  <si>
    <t>0.00 - 0.42 (m=0.01, µ=0.02, µpop=0.05)</t>
  </si>
  <si>
    <t>0.00 - 0.05 (m=0.01, µ=0.01)</t>
  </si>
  <si>
    <t>0.02 - 0.61 (m=0.12, µ=0.12, µadj=0.16)</t>
  </si>
  <si>
    <t>0.02 - 0.36 (m=0.12, µ=0.12, µadj=0.14)</t>
  </si>
  <si>
    <t>0.00 - 0.18 (m=0.08, µ=0.08, µadj=0.08)</t>
  </si>
  <si>
    <t>0.00 - 0.15 (m=0.08, µ=0.07, µadj=0.07)</t>
  </si>
  <si>
    <t>0.00 - 0.17 (m=0.01, µ=0.02, µpop=0.01)</t>
  </si>
  <si>
    <t>0.01 - 0.30 (m=0.11, µ=0.10, µadj=0.10)</t>
  </si>
  <si>
    <t>0.00 - 0.27 (m=0.01, µ=0.03, µpop=0.02)</t>
  </si>
  <si>
    <t>0.01 - 0.39 (m=0.12, µ=0.11, µadj=0.11)</t>
  </si>
  <si>
    <t xml:space="preserve">CIDI with Fischer Tropsch Diesel </t>
  </si>
  <si>
    <t>CIDI with Fischer Tropsch Diesel - Light Duty Auto - 2005 - NH3 Excluded - $6M Cost of Life - ¢2007</t>
  </si>
  <si>
    <t>CIDI with Fischer Tropsch Diesel - Light Duty Auto - 2030 - NH3 Excluded - $6M Cost of Life - ¢2007</t>
  </si>
  <si>
    <t>CIDI with Fischer Tropsch Diesel - Light Duty Auto - 2030 35 MPG - NH3 Excluded - $6M Cost of Life - ¢2007 - Results per Mile</t>
  </si>
  <si>
    <t>CIDI with Fischer Tropsch Diesel - Light Duty Truck 1 - 2005 - NH3 Excluded - $6M Cost of Life - ¢2007</t>
  </si>
  <si>
    <t>CIDI with Fischer Tropsch Diesel - Light Duty Truck 1 - 2030 - NH3 Excluded - $6M Cost of Life - ¢2007</t>
  </si>
  <si>
    <t>CIDI with Fischer Tropsch Diesel - Light Duty Truck 1 - 2030 35 MPG - NH3 Excluded - $6M Cost of Life - ¢2007 - Results per Mile</t>
  </si>
  <si>
    <t>CIDI with Fischer Tropsch Diesel - Light Duty Truck 2 - 2005 - NH3 Excluded - $6M Cost of Life - ¢2007</t>
  </si>
  <si>
    <t>CIDI with Fischer Tropsch Diesel - Light Duty Truck 2 - 2030 - NH3 Excluded - $6M Cost of Life - ¢2007</t>
  </si>
  <si>
    <t>CIDI with Fischer Tropsch Diesel - Light Duty Truck 2 - 2030 35 MPG - NH3 Excluded - $6M Cost of Life - ¢2007 - Results per Mile</t>
  </si>
  <si>
    <t>0.01 - 5.35 (m=0.14, µ=0.19, µpop=0.64)</t>
  </si>
  <si>
    <t>0.01 - 1.01 (m=0.06, µ=0.06)</t>
  </si>
  <si>
    <t>0.18 - 1.41 (m=0.43, µ=0.58)</t>
  </si>
  <si>
    <t>0.41 - 7.77 (m=1.17, µ=1.35, µadj=1.80)</t>
  </si>
  <si>
    <t>0.00 - 2.10 (m=0.06, µ=0.08, µpop=0.28)</t>
  </si>
  <si>
    <t>0.01 - 1.40 (m=0.06, µ=0.07)</t>
  </si>
  <si>
    <t>0.30 - 1.99 (m=0.55, µ=0.73)</t>
  </si>
  <si>
    <t>0.64 - 6.24 (m=1.35, µ=1.59, µadj=1.79)</t>
  </si>
  <si>
    <t>0.00 - 1.84 (m=0.05, µ=0.07, µpop=0.24)</t>
  </si>
  <si>
    <t>0.01 - 1.14 (m=0.05, µ=0.06)</t>
  </si>
  <si>
    <t>0.25 - 1.63 (m=0.45, µ=0.60)</t>
  </si>
  <si>
    <t>0.58 - 5.48 (m=1.22, µ=1.43, µadj=1.61)</t>
  </si>
  <si>
    <t>0.02 - 6.55 (m=0.22, µ=0.29, µpop=0.84)</t>
  </si>
  <si>
    <t>0.23 - 1.80 (m=0.55, µ=0.74)</t>
  </si>
  <si>
    <t>0.52 - 9.58 (m=1.51, µ=1.72, µadj=2.27)</t>
  </si>
  <si>
    <t>0.01 - 2.61 (m=0.08, µ=0.11, µpop=0.35)</t>
  </si>
  <si>
    <t>0.01 - 1.66 (m=0.08, µ=0.09)</t>
  </si>
  <si>
    <t>0.36 - 2.37 (m=0.65, µ=0.86)</t>
  </si>
  <si>
    <t>0.78 - 7.37 (m=1.61, µ=1.89, µadj=2.14)</t>
  </si>
  <si>
    <t>0.00 - 2.01 (m=0.06, µ=0.08, µpop=0.27)</t>
  </si>
  <si>
    <t>0.65 - 5.78 (m=1.36, µ=1.57, µadj=1.76)</t>
  </si>
  <si>
    <t>0.02 - 7.79 (m=0.30, µ=0.39, µpop=1.04)</t>
  </si>
  <si>
    <t>0.01 - 1.41 (m=0.08, µ=0.09)</t>
  </si>
  <si>
    <t>0.25 - 1.97 (m=0.60, µ=0.80)</t>
  </si>
  <si>
    <t>0.56 - 11.04 (m=1.68, µ=1.89, µadj=2.55)</t>
  </si>
  <si>
    <t>0.01 - 3.16 (m=0.10, µ=0.13, µpop=0.43)</t>
  </si>
  <si>
    <t>0.01 - 1.94 (m=0.09, µ=0.10)</t>
  </si>
  <si>
    <t>0.42 - 2.77 (m=0.76, µ=1.01)</t>
  </si>
  <si>
    <t>0.85 - 8.34 (m=1.76, µ=2.08, µadj=2.38)</t>
  </si>
  <si>
    <t>0.00 - 2.14 (m=0.06, µ=0.09, µpop=0.29)</t>
  </si>
  <si>
    <t>0.65 - 5.85 (m=1.36, µ=1.58, µadj=1.78)</t>
  </si>
  <si>
    <t>0.01 - 5.07 (m=0.13, µ=0.18, µpop=0.61)</t>
  </si>
  <si>
    <t>0.01 - 0.95 (m=0.05, µ=0.06)</t>
  </si>
  <si>
    <t>0.17 - 1.33 (m=0.40, µ=0.54)</t>
  </si>
  <si>
    <t>0.34 - 7.23 (m=0.97, µ=1.15, µadj=1.58)</t>
  </si>
  <si>
    <t>0.00 - 1.99 (m=0.05, µ=0.08, µpop=0.26)</t>
  </si>
  <si>
    <t>0.01 - 1.32 (m=0.06, µ=0.07)</t>
  </si>
  <si>
    <t>0.28 - 1.88 (m=0.52, µ=0.69)</t>
  </si>
  <si>
    <t>0.57 - 5.88 (m=1.14, µ=1.39, µadj=1.58)</t>
  </si>
  <si>
    <t>0.00 - 1.75 (m=0.04, µ=0.07, µpop=0.23)</t>
  </si>
  <si>
    <t>0.01 - 1.08 (m=0.05, µ=0.06)</t>
  </si>
  <si>
    <t>0.23 - 1.54 (m=0.42, µ=0.56)</t>
  </si>
  <si>
    <t>0.51 - 5.16 (m=1.03, µ=1.24, µadj=1.40)</t>
  </si>
  <si>
    <t>0.01 - 6.19 (m=0.20, µ=0.26, µpop=0.79)</t>
  </si>
  <si>
    <t>0.01 - 1.22 (m=0.07, µ=0.07)</t>
  </si>
  <si>
    <t>0.21 - 1.70 (m=0.51, µ=0.70)</t>
  </si>
  <si>
    <t>0.44 - 8.91 (m=1.25, µ=1.47, µadj=2.00)</t>
  </si>
  <si>
    <t>0.01 - 2.48 (m=0.07, µ=0.10, µpop=0.33)</t>
  </si>
  <si>
    <t>0.01 - 1.57 (m=0.07, µ=0.08)</t>
  </si>
  <si>
    <t>0.33 - 2.24 (m=0.62, µ=0.82)</t>
  </si>
  <si>
    <t>0.69 - 6.94 (m=1.37, µ=1.65, µadj=1.89)</t>
  </si>
  <si>
    <t>0.00 - 1.91 (m=0.05, µ=0.07, µpop=0.25)</t>
  </si>
  <si>
    <t>0.57 - 5.44 (m=1.13, µ=1.35, µadj=1.53)</t>
  </si>
  <si>
    <t>0.02 - 7.37 (m=0.27, µ=0.35, µpop=0.98)</t>
  </si>
  <si>
    <t>0.01 - 1.33 (m=0.07, µ=0.08)</t>
  </si>
  <si>
    <t>0.23 - 1.85 (m=0.56, µ=0.76)</t>
  </si>
  <si>
    <t>0.47 - 10.28 (m=1.39, µ=1.63, µadj=2.26)</t>
  </si>
  <si>
    <t>0.01 - 3.00 (m=0.09, µ=0.12, µpop=0.41)</t>
  </si>
  <si>
    <t>0.01 - 1.84 (m=0.08, µ=0.10)</t>
  </si>
  <si>
    <t>0.39 - 2.62 (m=0.72, µ=0.96)</t>
  </si>
  <si>
    <t>0.75 - 7.86 (m=1.51, µ=1.83, µadj=2.11)</t>
  </si>
  <si>
    <t>0.00 - 2.03 (m=0.06, µ=0.08, µpop=0.27)</t>
  </si>
  <si>
    <t>0.57 - 5.50 (m=1.14, µ=1.35, µadj=1.55)</t>
  </si>
  <si>
    <t>0.00 - 0.26 (m=0.01, µ=0.01, µpop=0.03)</t>
  </si>
  <si>
    <t>0.01 - 0.07 (m=0.02, µ=0.03)</t>
  </si>
  <si>
    <t>0.02 - 0.44 (m=0.11, µ=0.11, µadj=0.14)</t>
  </si>
  <si>
    <t>0.01 - 0.10 (m=0.02, µ=0.03)</t>
  </si>
  <si>
    <t>0.03 - 0.33 (m=0.11, µ=0.12, µadj=0.13)</t>
  </si>
  <si>
    <t>0.03 - 0.30 (m=0.11, µ=0.12, µadj=0.13)</t>
  </si>
  <si>
    <t>0.00 - 0.33 (m=0.01, µ=0.01, µpop=0.04)</t>
  </si>
  <si>
    <t>0.03 - 0.55 (m=0.13, µ=0.14, µadj=0.17)</t>
  </si>
  <si>
    <t>0.02 - 0.12 (m=0.03, µ=0.04)</t>
  </si>
  <si>
    <t>0.03 - 0.39 (m=0.14, µ=0.15, µadj=0.16)</t>
  </si>
  <si>
    <t>0.03 - 0.34 (m=0.13, µ=0.13, µadj=0.14)</t>
  </si>
  <si>
    <t>0.01 - 0.10 (m=0.03, µ=0.04)</t>
  </si>
  <si>
    <t>0.03 - 0.63 (m=0.14, µ=0.15, µadj=0.18)</t>
  </si>
  <si>
    <t>0.02 - 0.14 (m=0.03, µ=0.04)</t>
  </si>
  <si>
    <t>0.04 - 0.44 (m=0.14, µ=0.16, µadj=0.17)</t>
  </si>
  <si>
    <t>0.01 - 0.18 (m=0.09, µ=0.08, µadj=0.08)</t>
  </si>
  <si>
    <t>0.01 - 0.30 (m=0.12, µ=0.11, µadj=0.10)</t>
  </si>
  <si>
    <t>0.01 - 0.40 (m=0.13, µ=0.12, µadj=0.11)</t>
  </si>
  <si>
    <t xml:space="preserve">CIDI with Soybean Biodiesel 20% </t>
  </si>
  <si>
    <t>CIDI with Soybean Biodiesel 20% - Light Duty Auto - 2005 - NH3 Excluded - $6M Cost of Life - ¢2007</t>
  </si>
  <si>
    <t>CIDI with Soybean Biodiesel 20% - Light Duty Auto - 2030 - NH3 Excluded - $6M Cost of Life - ¢2007</t>
  </si>
  <si>
    <t>CIDI with Soybean Biodiesel 20% - Light Duty Auto - 2030 35 MPG - NH3 Excluded - $6M Cost of Life - ¢2007 - Results per Mile</t>
  </si>
  <si>
    <t>CIDI with Soybean Biodiesel 20% - Light Duty Truck 1 - 2005 - NH3 Excluded - $6M Cost of Life - ¢2007</t>
  </si>
  <si>
    <t>CIDI with Soybean Biodiesel 20% - Light Duty Truck 1 - 2030 - NH3 Excluded - $6M Cost of Life - ¢2007</t>
  </si>
  <si>
    <t>CIDI with Soybean Biodiesel 20% - Light Duty Truck 1 - 2030 35 MPG - NH3 Excluded - $6M Cost of Life - ¢2007 - Results per Mile</t>
  </si>
  <si>
    <t>CIDI with Soybean Biodiesel 20% - Light Duty Truck 2 - 2005 - NH3 Excluded - $6M Cost of Life - ¢2007</t>
  </si>
  <si>
    <t>CIDI with Soybean Biodiesel 20% - Light Duty Truck 2 - 2030 - NH3 Excluded - $6M Cost of Life - ¢2007</t>
  </si>
  <si>
    <t>CIDI with Soybean Biodiesel 20% - Light Duty Truck 2 - 2030 35 MPG - NH3 Excluded - $6M Cost of Life - ¢2007 - Results per Mile</t>
  </si>
  <si>
    <t>0.01 - 6.22 (m=0.17, µ=0.23, µpop=0.77)</t>
  </si>
  <si>
    <t>0.01 - 2.59 (m=0.13, µ=0.16)</t>
  </si>
  <si>
    <t>-0.08 - 0.08 (m=0.01, µ=0.02)</t>
  </si>
  <si>
    <t>0.25 - 9.17 (m=0.84, µ=0.93, µadj=1.47)</t>
  </si>
  <si>
    <t>0.00 - 2.13 (m=0.06, µ=0.08, µpop=0.28)</t>
  </si>
  <si>
    <t>0.01 - 2.95 (m=0.13, µ=0.15)</t>
  </si>
  <si>
    <t>-0.35 - 0.00 (m=-0.03, µ=-0.04)</t>
  </si>
  <si>
    <t>0.34 - 5.52 (m=0.83, µ=0.90, µadj=1.11)</t>
  </si>
  <si>
    <t>0.00 - 1.86 (m=0.05, µ=0.07, µpop=0.25)</t>
  </si>
  <si>
    <t>0.01 - 2.42 (m=0.11, µ=0.13)</t>
  </si>
  <si>
    <t>-0.29 - 0.00 (m=-0.02, µ=-0.03)</t>
  </si>
  <si>
    <t>0.34 - 4.90 (m=0.80, µ=0.87, µadj=1.05)</t>
  </si>
  <si>
    <t>0.02 - 7.54 (m=0.26, µ=0.33, µpop=1.00)</t>
  </si>
  <si>
    <t>0.02 - 3.31 (m=0.17, µ=0.20)</t>
  </si>
  <si>
    <t>-0.10 - 0.10 (m=0.02, µ=0.03)</t>
  </si>
  <si>
    <t>0.32 - 11.25 (m=1.08, µ=1.17, µadj=1.83)</t>
  </si>
  <si>
    <t>0.01 - 2.65 (m=0.08, µ=0.11, µpop=0.36)</t>
  </si>
  <si>
    <t>0.02 - 3.51 (m=0.16, µ=0.18)</t>
  </si>
  <si>
    <t>-0.42 - 0.00 (m=-0.03, µ=-0.05)</t>
  </si>
  <si>
    <t>0.42 - 6.51 (m=0.99, µ=1.08, µadj=1.33)</t>
  </si>
  <si>
    <t>0.41 - 5.19 (m=0.93, µ=1.01, µadj=1.20)</t>
  </si>
  <si>
    <t>0.03 - 8.85 (m=0.34, µ=0.43, µpop=1.21)</t>
  </si>
  <si>
    <t>0.02 - 3.61 (m=0.19, µ=0.22)</t>
  </si>
  <si>
    <t>-0.11 - 0.11 (m=0.02, µ=0.03)</t>
  </si>
  <si>
    <t>0.34 - 12.83 (m=1.20, µ=1.29, µadj=2.07)</t>
  </si>
  <si>
    <t>0.02 - 4.10 (m=0.18, µ=0.22)</t>
  </si>
  <si>
    <t>-0.49 - 0.00 (m=-0.04, µ=-0.06)</t>
  </si>
  <si>
    <t>0.43 - 7.35 (m=1.04, µ=1.13, µadj=1.43)</t>
  </si>
  <si>
    <t>0.41 - 5.26 (m=0.94, µ=1.02, µadj=1.22)</t>
  </si>
  <si>
    <t>0.01 - 5.89 (m=0.15, µ=0.21, µpop=0.73)</t>
  </si>
  <si>
    <t>0.01 - 2.43 (m=0.12, µ=0.14)</t>
  </si>
  <si>
    <t>0.19 - 8.55 (m=0.67, µ=0.75, µadj=1.27)</t>
  </si>
  <si>
    <t>0.01 - 2.80 (m=0.12, µ=0.15)</t>
  </si>
  <si>
    <t>-0.33 - 0.00 (m=-0.03, µ=-0.04)</t>
  </si>
  <si>
    <t>0.28 - 5.20 (m=0.67, µ=0.74, µadj=0.93)</t>
  </si>
  <si>
    <t>0.01 - 2.29 (m=0.10, µ=0.12)</t>
  </si>
  <si>
    <t>-0.27 - 0.00 (m=-0.02, µ=-0.03)</t>
  </si>
  <si>
    <t>0.28 - 4.61 (m=0.64, µ=0.71, µadj=0.88)</t>
  </si>
  <si>
    <t>0.02 - 7.14 (m=0.23, µ=0.30, µpop=0.94)</t>
  </si>
  <si>
    <t>0.02 - 3.11 (m=0.16, µ=0.18)</t>
  </si>
  <si>
    <t>0.25 - 10.49 (m=0.87, µ=0.95, µadj=1.59)</t>
  </si>
  <si>
    <t>0.01 - 2.51 (m=0.07, µ=0.10, µpop=0.34)</t>
  </si>
  <si>
    <t>0.02 - 3.32 (m=0.15, µ=0.17)</t>
  </si>
  <si>
    <t>-0.39 - 0.00 (m=-0.03, µ=-0.05)</t>
  </si>
  <si>
    <t>0.35 - 6.13 (m=0.80, µ=0.88, µadj=1.12)</t>
  </si>
  <si>
    <t>0.34 - 4.88 (m=0.74, µ=0.82, µadj=1.00)</t>
  </si>
  <si>
    <t>0.03 - 8.37 (m=0.30, µ=0.39, µpop=1.14)</t>
  </si>
  <si>
    <t>0.02 - 3.39 (m=0.17, µ=0.20)</t>
  </si>
  <si>
    <t>0.27 - 11.98 (m=0.96, µ=1.06, µadj=1.80)</t>
  </si>
  <si>
    <t>0.01 - 3.04 (m=0.09, µ=0.13, µpop=0.42)</t>
  </si>
  <si>
    <t>0.02 - 3.88 (m=0.17, µ=0.20)</t>
  </si>
  <si>
    <t>-0.46 - 0.00 (m=-0.04, µ=-0.05)</t>
  </si>
  <si>
    <t>0.35 - 6.92 (m=0.85, µ=0.93, µadj=1.22)</t>
  </si>
  <si>
    <t>0.00 - 2.05 (m=0.06, µ=0.08, µpop=0.28)</t>
  </si>
  <si>
    <t>0.34 - 4.94 (m=0.75, µ=0.82, µadj=1.02)</t>
  </si>
  <si>
    <t>0.00 - 0.30 (m=0.01, µ=0.01, µpop=0.04)</t>
  </si>
  <si>
    <t>0.00 - 0.14 (m=0.01, µ=0.01)</t>
  </si>
  <si>
    <t>0.01 - 0.51 (m=0.09, µ=0.09, µadj=0.12)</t>
  </si>
  <si>
    <t>-0.02 - 0.00 (m=0.00, µ=0.00)</t>
  </si>
  <si>
    <t>0.01 - 0.30 (m=0.09, µ=0.09, µadj=0.10)</t>
  </si>
  <si>
    <t>-0.01 - 0.00 (m=0.00, µ=0.00)</t>
  </si>
  <si>
    <t>0.01 - 0.27 (m=0.09, µ=0.09, µadj=0.10)</t>
  </si>
  <si>
    <t>0.00 - 0.38 (m=0.01, µ=0.01, µpop=0.04)</t>
  </si>
  <si>
    <t>0.02 - 0.63 (m=0.11, µ=0.11, µadj=0.15)</t>
  </si>
  <si>
    <t>0.02 - 0.37 (m=0.11, µ=0.11, µadj=0.12)</t>
  </si>
  <si>
    <t>0.02 - 0.30 (m=0.10, µ=0.11, µadj=0.12)</t>
  </si>
  <si>
    <t>0.00 - 0.45 (m=0.01, µ=0.02, µpop=0.05)</t>
  </si>
  <si>
    <t>0.00 - 0.20 (m=0.01, µ=0.01)</t>
  </si>
  <si>
    <t>0.02 - 0.72 (m=0.11, µ=0.12, µadj=0.16)</t>
  </si>
  <si>
    <t>0.00 - 0.14 (m=0.07, µ=0.07, µadj=0.07)</t>
  </si>
  <si>
    <t>0.01 - 0.33 (m=0.11, µ=0.10, µadj=0.10)</t>
  </si>
  <si>
    <t>0.00 - 0.18 (m=0.09, µ=0.09, µadj=0.09)</t>
  </si>
  <si>
    <t>0.00 - 0.17 (m=0.09, µ=0.09, µadj=0.08)</t>
  </si>
  <si>
    <t>0.01 - 0.42 (m=0.12, µ=0.11, µadj=0.11)</t>
  </si>
  <si>
    <t>0.00 - 0.04 (m=0.00, µ=0.01)</t>
  </si>
  <si>
    <t xml:space="preserve">Grid Independent SI HEV </t>
  </si>
  <si>
    <t>Grid Independent SI HEV - Light Duty Auto - 2005 - NH3 Excluded - $6M Cost of Life - ¢2007</t>
  </si>
  <si>
    <t>Grid Independent SI HEV - Light Duty Auto - 2030 - NH3 Excluded - $6M Cost of Life - ¢2007</t>
  </si>
  <si>
    <t>Grid Independent SI HEV - Light Duty Auto - 2030 35 MPG - NH3 Excluded - $6M Cost of Life - ¢2007 - Results per Mile</t>
  </si>
  <si>
    <t>Grid Independent SI HEV - Light Duty Truck 1 - 2005 - NH3 Excluded - $6M Cost of Life - ¢2007</t>
  </si>
  <si>
    <t>Grid Independent SI HEV - Light Duty Truck 1 - 2030 - NH3 Excluded - $6M Cost of Life - ¢2007</t>
  </si>
  <si>
    <t>Grid Independent SI HEV - Light Duty Truck 1 - 2030 35 MPG - NH3 Excluded - $6M Cost of Life - ¢2007 - Results per Mile</t>
  </si>
  <si>
    <t>Grid Independent SI HEV - Light Duty Truck 2 - 2005 - NH3 Excluded - $6M Cost of Life - ¢2007</t>
  </si>
  <si>
    <t>Grid Independent SI HEV - Light Duty Truck 2 - 2030 - NH3 Excluded - $6M Cost of Life - ¢2007</t>
  </si>
  <si>
    <t>Grid Independent SI HEV - Light Duty Truck 2 - 2030 35 MPG - NH3 Excluded - $6M Cost of Life - ¢2007 - Results per Mile</t>
  </si>
  <si>
    <t>0.01 - 2.34 (m=0.08, µ=0.11, µpop=0.31)</t>
  </si>
  <si>
    <t>0.00 - 0.73 (m=0.04, µ=0.05)</t>
  </si>
  <si>
    <t>0.08 - 0.72 (m=0.18, µ=0.25)</t>
  </si>
  <si>
    <t>0.18 - 1.69 (m=0.56, µ=0.61)</t>
  </si>
  <si>
    <t>0.31 - 4.12 (m=0.93, µ=1.02, µadj=1.22)</t>
  </si>
  <si>
    <t>0.01 - 2.44 (m=0.06, µ=0.09, µpop=0.32)</t>
  </si>
  <si>
    <t>0.00 - 0.86 (m=0.05, µ=0.05)</t>
  </si>
  <si>
    <t>0.11 - 0.81 (m=0.20, µ=0.27)</t>
  </si>
  <si>
    <t>0.33 - 2.65 (m=0.78, µ=0.86)</t>
  </si>
  <si>
    <t>0.49 - 5.57 (m=1.11, µ=1.27, µadj=1.50)</t>
  </si>
  <si>
    <t>0.01 - 3.25 (m=0.13, µ=0.17, µpop=0.44)</t>
  </si>
  <si>
    <t>0.01 - 0.94 (m=0.06, µ=0.06)</t>
  </si>
  <si>
    <t>0.10 - 0.92 (m=0.24, µ=0.32)</t>
  </si>
  <si>
    <t>0.24 - 2.23 (m=0.75, µ=0.82)</t>
  </si>
  <si>
    <t>0.42 - 5.57 (m=1.27, µ=1.37, µadj=1.65)</t>
  </si>
  <si>
    <t>0.01 - 3.02 (m=0.08, µ=0.11, µpop=0.40)</t>
  </si>
  <si>
    <t>0.01 - 1.02 (m=0.05, µ=0.06)</t>
  </si>
  <si>
    <t>0.13 - 0.96 (m=0.24, µ=0.32)</t>
  </si>
  <si>
    <t>0.45 - 3.49 (m=1.04, µ=1.14)</t>
  </si>
  <si>
    <t>0.64 - 6.96 (m=1.44, µ=1.64, µadj=1.93)</t>
  </si>
  <si>
    <t>0.01 - 2.79 (m=0.07, µ=0.10, µpop=0.37)</t>
  </si>
  <si>
    <t>0.62 - 6.56 (m=1.39, µ=1.58, µadj=1.85)</t>
  </si>
  <si>
    <t>0.02 - 7.13 (m=0.26, µ=0.34, µpop=0.94)</t>
  </si>
  <si>
    <t>0.01 - 1.08 (m=0.06, µ=0.07)</t>
  </si>
  <si>
    <t>0.11 - 1.06 (m=0.27, µ=0.37)</t>
  </si>
  <si>
    <t>0.46 - 9.66 (m=1.47, µ=1.60, µadj=2.20)</t>
  </si>
  <si>
    <t>0.01 - 3.92 (m=0.10, µ=0.15, µpop=0.52)</t>
  </si>
  <si>
    <t>0.01 - 1.27 (m=0.07, µ=0.08)</t>
  </si>
  <si>
    <t>0.16 - 1.19 (m=0.30, µ=0.40)</t>
  </si>
  <si>
    <t>0.69 - 8.01 (m=1.54, µ=1.77, µadj=2.14)</t>
  </si>
  <si>
    <t>0.01 - 3.14 (m=0.08, µ=0.11, µpop=0.41)</t>
  </si>
  <si>
    <t>0.62 - 6.78 (m=1.40, µ=1.59, µadj=1.89)</t>
  </si>
  <si>
    <t>0.01 - 2.21 (m=0.07, µ=0.10, µpop=0.29)</t>
  </si>
  <si>
    <t>0.00 - 0.69 (m=0.04, µ=0.05)</t>
  </si>
  <si>
    <t>0.07 - 0.68 (m=0.17, µ=0.24)</t>
  </si>
  <si>
    <t>0.15 - 1.38 (m=0.45, µ=0.47)</t>
  </si>
  <si>
    <t>0.26 - 3.77 (m=0.76, µ=0.85, µadj=1.04)</t>
  </si>
  <si>
    <t>0.00 - 2.32 (m=0.06, µ=0.08, µpop=0.31)</t>
  </si>
  <si>
    <t>0.00 - 0.81 (m=0.04, µ=0.05)</t>
  </si>
  <si>
    <t>0.10 - 0.76 (m=0.19, µ=0.26)</t>
  </si>
  <si>
    <t>0.30 - 2.29 (m=0.63, µ=0.70)</t>
  </si>
  <si>
    <t>0.43 - 5.25 (m=0.93, µ=1.09, µadj=1.32)</t>
  </si>
  <si>
    <t>0.01 - 3.07 (m=0.11, µ=0.15, µpop=0.42)</t>
  </si>
  <si>
    <t>0.09 - 0.87 (m=0.22, µ=0.30)</t>
  </si>
  <si>
    <t>0.21 - 1.81 (m=0.60, µ=0.62)</t>
  </si>
  <si>
    <t>0.35 - 5.10 (m=1.02, µ=1.13, µadj=1.40)</t>
  </si>
  <si>
    <t>0.12 - 0.91 (m=0.23, µ=0.31)</t>
  </si>
  <si>
    <t>0.40 - 3.01 (m=0.84, µ=0.94)</t>
  </si>
  <si>
    <t>0.56 - 6.55 (m=1.20, µ=1.41, µadj=1.68)</t>
  </si>
  <si>
    <t>0.01 - 2.65 (m=0.07, µ=0.10, µpop=0.35)</t>
  </si>
  <si>
    <t>0.54 - 6.17 (m=1.16, µ=1.35, µadj=1.60)</t>
  </si>
  <si>
    <t>0.02 - 6.74 (m=0.23, µ=0.30, µpop=0.88)</t>
  </si>
  <si>
    <t>0.10 - 1.00 (m=0.25, µ=0.35)</t>
  </si>
  <si>
    <t>0.38 - 8.97 (m=1.19, µ=1.34, µadj=1.93)</t>
  </si>
  <si>
    <t>0.01 - 3.72 (m=0.09, µ=0.14, µpop=0.49)</t>
  </si>
  <si>
    <t>0.01 - 1.20 (m=0.06, µ=0.07)</t>
  </si>
  <si>
    <t>0.15 - 1.13 (m=0.28, µ=0.38)</t>
  </si>
  <si>
    <t>0.60 - 7.54 (m=1.29, µ=1.53, µadj=1.88)</t>
  </si>
  <si>
    <t>0.01 - 2.99 (m=0.07, µ=0.11, µpop=0.39)</t>
  </si>
  <si>
    <t>0.55 - 6.38 (m=1.16, µ=1.36, µadj=1.65)</t>
  </si>
  <si>
    <t>0.01 - 0.19 (m=0.08, µ=0.08)</t>
  </si>
  <si>
    <t>0.02 - 0.26 (m=0.09, µ=0.09, µadj=0.10)</t>
  </si>
  <si>
    <t>0.02 - 0.24 (m=0.08, µ=0.09)</t>
  </si>
  <si>
    <t>0.02 - 0.29 (m=0.10, µ=0.11, µadj=0.12)</t>
  </si>
  <si>
    <t>0.01 - 0.26 (m=0.10, µ=0.11)</t>
  </si>
  <si>
    <t>0.02 - 0.36 (m=0.12, µ=0.13, µadj=0.14)</t>
  </si>
  <si>
    <t>0.00 - 0.15 (m=0.00, µ=0.00, µpop=0.02)</t>
  </si>
  <si>
    <t>0.02 - 0.32 (m=0.11, µ=0.12)</t>
  </si>
  <si>
    <t>0.03 - 0.38 (m=0.13, µ=0.14, µadj=0.15)</t>
  </si>
  <si>
    <t>0.00 - 0.36 (m=0.01, µ=0.01, µpop=0.04)</t>
  </si>
  <si>
    <t>0.02 - 0.56 (m=0.13, µ=0.14, µadj=0.17)</t>
  </si>
  <si>
    <t>0.03 - 0.42 (m=0.14, µ=0.15, µadj=0.16)</t>
  </si>
  <si>
    <t>0.00 - 0.07 (m=0.00, µ=0.01, µpop=0.01)</t>
  </si>
  <si>
    <t>0.00 - 0.12 (m=0.06, µ=0.06)</t>
  </si>
  <si>
    <t>0.00 - 0.16 (m=0.08, µ=0.07, µadj=0.07)</t>
  </si>
  <si>
    <t>0.00 - 0.13 (m=0.07, µ=0.07, µadj=0.07)</t>
  </si>
  <si>
    <t>0.00 - 0.12 (m=0.00, µ=0.01, µpop=0.01)</t>
  </si>
  <si>
    <t>0.00 - 0.17 (m=0.09, µ=0.09)</t>
  </si>
  <si>
    <t>0.01 - 0.24 (m=0.11, µ=0.10, µadj=0.10)</t>
  </si>
  <si>
    <t>0.00 - 0.23 (m=0.01, µ=0.02, µpop=0.02)</t>
  </si>
  <si>
    <t>0.01 - 0.34 (m=0.13, µ=0.12, µadj=0.11)</t>
  </si>
  <si>
    <t>0.01 - 0.19 (m=0.10, µ=0.10, µadj=0.10)</t>
  </si>
  <si>
    <t xml:space="preserve">Grid Dependent SI HEV </t>
  </si>
  <si>
    <t>Grid Dependent SI HEV - Light Duty Auto - 2005 - NH3 Excluded - $6M Cost of Life - ¢2007</t>
  </si>
  <si>
    <t>Grid Dependent SI HEV - Light Duty Auto - 2030 - NH3 Excluded - $6M Cost of Life - ¢2007</t>
  </si>
  <si>
    <t>Chng frm 0.75 to 0.39  TMcK 9/4/09</t>
  </si>
  <si>
    <t>Chng frm 1.80 to 1.45  TMcK 9/4/09</t>
  </si>
  <si>
    <t>Grid Dependent SI HEV - Light Duty Auto - 2030 35 MPG - NH3 Excluded - $6M Cost of Life - ¢2007 - Results per Mile</t>
  </si>
  <si>
    <t>Grid Dependent SI HEV - Light Duty Truck 1 - 2005 - NH3 Excluded - $6M Cost of Life - ¢2007</t>
  </si>
  <si>
    <t>Grid Dependent SI HEV - Light Duty Truck 1 - 2030 - NH3 Excluded - $6M Cost of Life - ¢2007</t>
  </si>
  <si>
    <t>Grid Dependent SI HEV - Light Duty Truck 1 - 2030 35 MPG - NH3 Excluded - $6M Cost of Life - ¢2007 - Results per Mile</t>
  </si>
  <si>
    <t>Grid Dependent SI HEV - Light Duty Truck 2 - 2005 - NH3 Excluded - $6M Cost of Life - ¢2007</t>
  </si>
  <si>
    <t>Grid Dependent SI HEV - Light Duty Truck 2 - 2030 - NH3 Excluded - $6M Cost of Life - ¢2007</t>
  </si>
  <si>
    <t>Grid Dependent SI HEV - Light Duty Truck 2 - 2030 35 MPG - NH3 Excluded - $6M Cost of Life - ¢2007 - Results per Mile</t>
  </si>
  <si>
    <t>0.00 - 1.73 (m=0.06, µ=0.08, µpop=0.22)</t>
  </si>
  <si>
    <t>0.01 - 2.76 (m=0.08, µ=0.11)</t>
  </si>
  <si>
    <t>0.25 - 3.46 (m=0.66, µ=0.52)</t>
  </si>
  <si>
    <t>0.50 - 7.59 (m=1.41, µ=1.32, µadj=1.46)</t>
  </si>
  <si>
    <t>0.00 - 1.86 (m=0.04, µ=0.07, µpop=0.24)</t>
  </si>
  <si>
    <t>0.01 - 3.09 (m=0.09, µ=0.13)</t>
  </si>
  <si>
    <t>0.26 - 2.89 (m=0.53, µ=0.39)</t>
  </si>
  <si>
    <t>0.65 - 8.84 (m=1.46, µ=1.45, µadj=1.62)</t>
  </si>
  <si>
    <t>0.01 - 2.34 (m=0.09, µ=0.12, µpop=0.31)</t>
  </si>
  <si>
    <t>0.01 - 3.52 (m=0.11, µ=0.14)</t>
  </si>
  <si>
    <t>0.33 - 4.42 (m=0.84, µ=1.21)</t>
  </si>
  <si>
    <t>0.65 - 9.76 (m=1.87, µ=2.28, µadj=2.48)</t>
  </si>
  <si>
    <t>0.00 - 2.24 (m=0.06, µ=0.08, µpop=0.30)</t>
  </si>
  <si>
    <t>0.01 - 3.67 (m=0.11, µ=0.15)</t>
  </si>
  <si>
    <t>0.31 - 3.44 (m=0.63, µ=0.89)</t>
  </si>
  <si>
    <t>0.82 - 10.80 (m=1.86, µ=2.27, µadj=2.48)</t>
  </si>
  <si>
    <t>0.01 - 4.93 (m=0.18, µ=0.23, µpop=0.65)</t>
  </si>
  <si>
    <t>0.01 - 3.88 (m=0.12, µ=0.16)</t>
  </si>
  <si>
    <t>0.36 - 4.86 (m=0.93, µ=1.33)</t>
  </si>
  <si>
    <t>0.71 - 11.78 (m=2.07, µ=2.53, µadj=2.95)</t>
  </si>
  <si>
    <t>0.01 - 2.85 (m=0.07, µ=0.10, µpop=0.37)</t>
  </si>
  <si>
    <t>0.01 - 4.33 (m=0.13, µ=0.18)</t>
  </si>
  <si>
    <t>0.36 - 4.07 (m=0.74, µ=1.06)</t>
  </si>
  <si>
    <t>0.90 - 12.35 (m=2.01, µ=2.49, µadj=2.76)</t>
  </si>
  <si>
    <t>0.00 - 1.63 (m=0.05, µ=0.07, µpop=0.21)</t>
  </si>
  <si>
    <t>0.01 - 2.61 (m=0.08, µ=0.10)</t>
  </si>
  <si>
    <t>0.24 - 3.26 (m=0.62, µ=0.89)</t>
  </si>
  <si>
    <t>0.43 - 7.12 (m=1.22, µ=1.53, µadj=1.67)</t>
  </si>
  <si>
    <t>0.00 - 1.77 (m=0.04, µ=0.06, µpop=0.23)</t>
  </si>
  <si>
    <t>0.01 - 2.93 (m=0.09, µ=0.12)</t>
  </si>
  <si>
    <t>0.24 - 2.74 (m=0.50, µ=0.71)</t>
  </si>
  <si>
    <t>0.58 - 8.34 (m=1.27, µ=1.60, µadj=1.77)</t>
  </si>
  <si>
    <t>0.01 - 2.21 (m=0.08, µ=0.10, µpop=0.29)</t>
  </si>
  <si>
    <t>0.01 - 3.34 (m=0.10, µ=0.13)</t>
  </si>
  <si>
    <t>0.30 - 4.16 (m=0.79, µ=1.14)</t>
  </si>
  <si>
    <t>0.56 - 9.15 (m=1.60, µ=2.00, µadj=2.19)</t>
  </si>
  <si>
    <t>0.00 - 2.13 (m=0.05, µ=0.08, µpop=0.28)</t>
  </si>
  <si>
    <t>0.01 - 3.49 (m=0.10, µ=0.14)</t>
  </si>
  <si>
    <t>0.29 - 3.26 (m=0.59, µ=0.85)</t>
  </si>
  <si>
    <t>0.73 - 10.19 (m=1.60, µ=2.00, µadj=2.21)</t>
  </si>
  <si>
    <t>0.01 - 4.67 (m=0.16, µ=0.21, µpop=0.61)</t>
  </si>
  <si>
    <t>0.01 - 3.68 (m=0.11, µ=0.15)</t>
  </si>
  <si>
    <t>0.33 - 4.57 (m=0.87, µ=1.26)</t>
  </si>
  <si>
    <t>0.61 - 10.99 (m=1.78, µ=2.23, µadj=2.63)</t>
  </si>
  <si>
    <t>0.01 - 2.70 (m=0.07, µ=0.10, µpop=0.36)</t>
  </si>
  <si>
    <t>0.01 - 4.11 (m=0.13, µ=0.17)</t>
  </si>
  <si>
    <t>0.34 - 3.85 (m=0.70, µ=1.00)</t>
  </si>
  <si>
    <t>0.80 - 11.65 (m=1.75, µ=2.21, µadj=2.47)</t>
  </si>
  <si>
    <t>0.00 - 0.13 (m=0.00, µ=0.00)</t>
  </si>
  <si>
    <t>0.01 - 0.18 (m=0.03, µ=0.04)</t>
  </si>
  <si>
    <t>0.03 - 0.42 (m=0.11, µ=0.13, µadj=0.13)</t>
  </si>
  <si>
    <t>0.00 - 0.15 (m=0.00, µ=0.01)</t>
  </si>
  <si>
    <t>0.01 - 0.14 (m=0.02, µ=0.03)</t>
  </si>
  <si>
    <t>0.03 - 0.46 (m=0.12, µ=0.13, µadj=0.14)</t>
  </si>
  <si>
    <t>0.00 - 0.17 (m=0.00, µ=0.01)</t>
  </si>
  <si>
    <t>0.02 - 0.24 (m=0.04, µ=0.06)</t>
  </si>
  <si>
    <t>0.04 - 0.54 (m=0.15, µ=0.17, µadj=0.18)</t>
  </si>
  <si>
    <t>0.00 - 0.18 (m=0.00, µ=0.01)</t>
  </si>
  <si>
    <t>0.02 - 0.17 (m=0.03, µ=0.04)</t>
  </si>
  <si>
    <t>0.04 - 0.56 (m=0.15, µ=0.17, µadj=0.18)</t>
  </si>
  <si>
    <t>0.00 - 0.25 (m=0.01, µ=0.01, µpop=0.03)</t>
  </si>
  <si>
    <t>0.00 - 0.19 (m=0.00, µ=0.01)</t>
  </si>
  <si>
    <t>0.02 - 0.26 (m=0.04, µ=0.06)</t>
  </si>
  <si>
    <t>0.04 - 0.65 (m=0.16, µ=0.18, µadj=0.20)</t>
  </si>
  <si>
    <t>0.02 - 0.20 (m=0.03, µ=0.05)</t>
  </si>
  <si>
    <t>0.05 - 0.64 (m=0.16, µ=0.18, µadj=0.19)</t>
  </si>
  <si>
    <t>0.00 - 0.05 (m=0.00, µ=0.00, µpop=0.00)</t>
  </si>
  <si>
    <t>0.00 - 0.02 (m=0.01, µ=0.01)</t>
  </si>
  <si>
    <t>0.00 - 0.01 (m=0.00, µ=0.00, µpop=0.00)</t>
  </si>
  <si>
    <t>0.01 - 0.14 (m=0.07, µ=0.07, µadj=0.07)</t>
  </si>
  <si>
    <t>0.01 - 0.21 (m=0.11, µ=0.11, µadj=0.11)</t>
  </si>
  <si>
    <t>0.00 - 0.15 (m=0.01, µ=0.01, µpop=0.01)</t>
  </si>
  <si>
    <t>0.01 - 0.28 (m=0.13, µ=0.12, µadj=0.11)</t>
  </si>
  <si>
    <t xml:space="preserve">Electric Vehicle </t>
  </si>
  <si>
    <t>Electric Vehicle - Light Duty Auto - 2005 - NH3 Excluded - $6M Cost of Life - ¢2007</t>
  </si>
  <si>
    <t>Electric Vehicle - Light Duty Auto - 2030 - NH3 Excluded - $6M Cost of Life - ¢2007</t>
  </si>
  <si>
    <t>Chng frm 1.48 to 0.31  TMcK 9/4/09</t>
  </si>
  <si>
    <t>Chng frm 2.59 to 1.43  TMcK 9/4/09</t>
  </si>
  <si>
    <t>Electric Vehicle - Light Duty Auto - 2030 35 MPG - NH3 Excluded - $6M Cost of Life - ¢2007 - Results per Mile</t>
  </si>
  <si>
    <t>Electric Vehicle - Light Duty Truck 1 - 2005 - NH3 Excluded - $6M Cost of Life - ¢2007</t>
  </si>
  <si>
    <t>Electric Vehicle - Light Duty Truck 1 - 2030 - NH3 Excluded - $6M Cost of Life - ¢2007</t>
  </si>
  <si>
    <t>Electric Vehicle - Light Duty Truck 1 - 2030 35 MPG - NH3 Excluded - $6M Cost of Life - ¢2007 - Results per Mile</t>
  </si>
  <si>
    <t>Electric Vehicle - Light Duty Truck 2 - 2005 - NH3 Excluded - $6M Cost of Life - ¢2007</t>
  </si>
  <si>
    <t>Electric Vehicle - Light Duty Truck 2 - 2030 - NH3 Excluded - $6M Cost of Life - ¢2007</t>
  </si>
  <si>
    <t>Electric Vehicle - Light Duty Truck 2 - 2030 35 MPG - NH3 Excluded - $6M Cost of Life - ¢2007 - Results per Mile</t>
  </si>
  <si>
    <t>0.00 - 0.48 (m=0.01, µ=0.01, µpop=0.05)</t>
  </si>
  <si>
    <t>0.01 - 6.97 (m=0.16, µ=0.23)</t>
  </si>
  <si>
    <t>0.62 - 9.02 (m=1.62, µ=0.83)</t>
  </si>
  <si>
    <t>0.86 - 14.88 (m=2.39, µ=1.68, µadj=1.72)</t>
  </si>
  <si>
    <t>0.00 - 0.67 (m=0.01, µ=0.02, µpop=0.08)</t>
  </si>
  <si>
    <t>0.02 - 6.80 (m=0.16, µ=0.24)</t>
  </si>
  <si>
    <t>0.48 - 6.11 (m=1.02, µ=0.31)</t>
  </si>
  <si>
    <t>0.87 - 13.67 (m=1.98, µ=1.43, µadj=1.49)</t>
  </si>
  <si>
    <t>0.02 - 8.91 (m=0.20, µ=0.29)</t>
  </si>
  <si>
    <t>0.79 - 11.53 (m=2.07, µ=3.00)</t>
  </si>
  <si>
    <t>1.11 - 18.99 (m=3.09, µ=4.12, µadj=4.16)</t>
  </si>
  <si>
    <t>0.02 - 8.09 (m=0.19, µ=0.29)</t>
  </si>
  <si>
    <t>0.57 - 7.26 (m=1.21, µ=1.76)</t>
  </si>
  <si>
    <t>1.09 - 16.45 (m=2.47, µ=3.20, µadj=3.27)</t>
  </si>
  <si>
    <t>0.02 - 9.72 (m=0.22, µ=0.32)</t>
  </si>
  <si>
    <t>0.86 - 12.57 (m=2.26, µ=3.27)</t>
  </si>
  <si>
    <t>1.19 - 20.52 (m=3.30, µ=4.42, µadj=4.46)</t>
  </si>
  <si>
    <t>0.02 - 9.45 (m=0.23, µ=0.33)</t>
  </si>
  <si>
    <t>0.66 - 8.49 (m=1.41, µ=2.05)</t>
  </si>
  <si>
    <t>1.20 - 18.64 (m=2.70, µ=3.55, µadj=3.61)</t>
  </si>
  <si>
    <t>0.00 - 0.45 (m=0.01, µ=0.01, µpop=0.05)</t>
  </si>
  <si>
    <t>0.01 - 6.62 (m=0.15, µ=0.22)</t>
  </si>
  <si>
    <t>0.58 - 8.48 (m=1.52, µ=2.22)</t>
  </si>
  <si>
    <t>0.77 - 13.98 (m=2.15, µ=2.92, µadj=2.96)</t>
  </si>
  <si>
    <t>0.00 - 0.64 (m=0.01, µ=0.02, µpop=0.08)</t>
  </si>
  <si>
    <t>0.01 - 6.46 (m=0.15, µ=0.23)</t>
  </si>
  <si>
    <t>0.45 - 5.78 (m=0.96, µ=1.40)</t>
  </si>
  <si>
    <t>0.79 - 12.91 (m=1.77, µ=2.35, µadj=2.41)</t>
  </si>
  <si>
    <t>0.02 - 8.46 (m=0.19, µ=0.28)</t>
  </si>
  <si>
    <t>0.74 - 10.84 (m=1.94, µ=2.84)</t>
  </si>
  <si>
    <t>1.00 - 17.84 (m=2.77, µ=3.75, µadj=3.79)</t>
  </si>
  <si>
    <t>0.02 - 7.68 (m=0.18, µ=0.27)</t>
  </si>
  <si>
    <t>0.53 - 6.87 (m=1.14, µ=1.66)</t>
  </si>
  <si>
    <t>0.99 - 15.53 (m=2.19, µ=2.89, µadj=2.95)</t>
  </si>
  <si>
    <t>0.02 - 9.23 (m=0.21, µ=0.30)</t>
  </si>
  <si>
    <t>0.81 - 11.82 (m=2.12, µ=3.09)</t>
  </si>
  <si>
    <t>1.07 - 19.28 (m=2.96, µ=4.03, µadj=4.07)</t>
  </si>
  <si>
    <t>0.02 - 8.98 (m=0.21, µ=0.32)</t>
  </si>
  <si>
    <t>0.62 - 8.03 (m=1.33, µ=1.95)</t>
  </si>
  <si>
    <t>1.08 - 17.60 (m=2.41, µ=3.22, µadj=3.28)</t>
  </si>
  <si>
    <t>0.03 - 0.48 (m=0.07, µ=0.11)</t>
  </si>
  <si>
    <t>0.05 - 0.81 (m=0.16, µ=0.20, µadj=0.20)</t>
  </si>
  <si>
    <t>0.00 - 0.32 (m=0.01, µ=0.01)</t>
  </si>
  <si>
    <t>0.02 - 0.30 (m=0.05, µ=0.07)</t>
  </si>
  <si>
    <t>0.05 - 0.69 (m=0.15, µ=0.16, µadj=0.17)</t>
  </si>
  <si>
    <t>0.00 - 0.43 (m=0.01, µ=0.01)</t>
  </si>
  <si>
    <t>0.04 - 0.61 (m=0.09, µ=0.14)</t>
  </si>
  <si>
    <t>0.06 - 1.04 (m=0.21, µ=0.26, µadj=0.26)</t>
  </si>
  <si>
    <t>0.00 - 0.38 (m=0.01, µ=0.01)</t>
  </si>
  <si>
    <t>0.03 - 0.36 (m=0.05, µ=0.08)</t>
  </si>
  <si>
    <t>0.06 - 0.84 (m=0.19, µ=0.21, µadj=0.21)</t>
  </si>
  <si>
    <t>0.00 - 0.46 (m=0.01, µ=0.01)</t>
  </si>
  <si>
    <t>0.04 - 0.67 (m=0.10, µ=0.15)</t>
  </si>
  <si>
    <t>0.07 - 1.12 (m=0.22, µ=0.27, µadj=0.27)</t>
  </si>
  <si>
    <t>0.00 - 0.45 (m=0.01, µ=0.01)</t>
  </si>
  <si>
    <t>0.03 - 0.42 (m=0.06, µ=0.09)</t>
  </si>
  <si>
    <t>0.07 - 0.95 (m=0.20, µ=0.23, µadj=0.23)</t>
  </si>
  <si>
    <t>0.00 - 0.00 (m=0.00, µ=0.00, µpop=0.00)</t>
  </si>
  <si>
    <t>0.01 - 0.05 (m=0.02, µ=0.02)</t>
  </si>
  <si>
    <t>0.01 - 0.07 (m=0.03, µ=0.03)</t>
  </si>
  <si>
    <t>0.01 - 0.24 (m=0.12, µ=0.12, µadj=0.12)</t>
  </si>
  <si>
    <t>0.01 - 0.20 (m=0.10, µ=0.10, µadj=0.10)</t>
  </si>
  <si>
    <t>0.01 - 0.08 (m=0.03, µ=0.03)</t>
  </si>
  <si>
    <t>0.02 - 0.24 (m=0.13, µ=0.12, µadj=0.12)</t>
  </si>
  <si>
    <t>0.01 - 0.21 (m=0.10, µ=0.10, µadj=0.10)</t>
  </si>
  <si>
    <t xml:space="preserve">CNG </t>
  </si>
  <si>
    <t>CNG - Light Duty Auto - 2005 - NH3 Excluded - $6M Cost of Life - ¢2007</t>
  </si>
  <si>
    <t>CNG - Light Duty Auto - 2030 - NH3 Excluded - $6M Cost of Life - ¢2007</t>
  </si>
  <si>
    <t>CNG - Light Duty Auto - 2030 35 MPG - NH3 Excluded - $6M Cost of Life - ¢2007 - Results per Mile</t>
  </si>
  <si>
    <t>CNG - Light Duty Truck 1 - 2005 - NH3 Excluded - $6M Cost of Life - ¢2007</t>
  </si>
  <si>
    <t>CNG - Light Duty Truck 1 - 2030 - NH3 Excluded - $6M Cost of Life - ¢2007</t>
  </si>
  <si>
    <t>CNG - Light Duty Truck 1 - 2030 35 MPG - NH3 Excluded - $6M Cost of Life - ¢2007 - Results per Mile</t>
  </si>
  <si>
    <t>CNG - Light Duty Truck 2 - 2005 - NH3 Excluded - $6M Cost of Life - ¢2007</t>
  </si>
  <si>
    <t>CNG - Light Duty Truck 2 - 2030 - NH3 Excluded - $6M Cost of Life - ¢2007</t>
  </si>
  <si>
    <t>CNG - Light Duty Truck 2 - 2030 35 MPG - NH3 Excluded - $6M Cost of Life - ¢2007 - Results per Mile</t>
  </si>
  <si>
    <t>0.07 - 0.96 (m=0.19, µ=0.28)</t>
  </si>
  <si>
    <t>0.30 - 4.54 (m=0.91, µ=1.00, µadj=1.20)</t>
  </si>
  <si>
    <t>0.01 - 2.54 (m=0.06, µ=0.09, µpop=0.33)</t>
  </si>
  <si>
    <t>0.01 - 1.67 (m=0.08, µ=0.09)</t>
  </si>
  <si>
    <t>0.07 - 0.77 (m=0.15, µ=0.21)</t>
  </si>
  <si>
    <t>0.42 - 5.61 (m=0.98, µ=1.11, µadj=1.35)</t>
  </si>
  <si>
    <t>0.00 - 1.97 (m=0.05, µ=0.07, µpop=0.25)</t>
  </si>
  <si>
    <t>0.05 - 0.50 (m=0.10, µ=0.14)</t>
  </si>
  <si>
    <t>0.38 - 4.41 (m=0.87, µ=0.98, µadj=1.16)</t>
  </si>
  <si>
    <t>0.01 - 3.24 (m=0.14, µ=0.18, µpop=0.45)</t>
  </si>
  <si>
    <t>0.09 - 1.23 (m=0.25, µ=0.36)</t>
  </si>
  <si>
    <t>0.38 - 5.99 (m=1.16, µ=1.26, µadj=1.54)</t>
  </si>
  <si>
    <t>0.01 - 3.14 (m=0.08, µ=0.12, µpop=0.41)</t>
  </si>
  <si>
    <t>0.01 - 1.99 (m=0.10, µ=0.11)</t>
  </si>
  <si>
    <t>0.09 - 0.91 (m=0.18, µ=0.25)</t>
  </si>
  <si>
    <t>0.52 - 6.63 (m=1.17, µ=1.32, µadj=1.61)</t>
  </si>
  <si>
    <t>0.00 - 2.15 (m=0.05, µ=0.08, µpop=0.28)</t>
  </si>
  <si>
    <t>0.45 - 4.73 (m=1.00, µ=1.11, µadj=1.31)</t>
  </si>
  <si>
    <t>0.02 - 6.11 (m=0.28, µ=0.35, µpop=0.86)</t>
  </si>
  <si>
    <t>0.01 - 1.91 (m=0.11, µ=0.12)</t>
  </si>
  <si>
    <t>0.10 - 1.34 (m=0.27, µ=0.39)</t>
  </si>
  <si>
    <t>0.41 - 9.05 (m=1.35, µ=1.47, µadj=1.99)</t>
  </si>
  <si>
    <t>0.01 - 3.74 (m=0.10, µ=0.15, µpop=0.50)</t>
  </si>
  <si>
    <t>0.01 - 2.32 (m=0.11, µ=0.13)</t>
  </si>
  <si>
    <t>0.10 - 1.07 (m=0.21, µ=0.30)</t>
  </si>
  <si>
    <t>0.54 - 7.46 (m=1.24, µ=1.41, µadj=1.76)</t>
  </si>
  <si>
    <t>0.00 - 2.28 (m=0.06, µ=0.08, µpop=0.30)</t>
  </si>
  <si>
    <t>0.45 - 4.80 (m=1.00, µ=1.12, µadj=1.33)</t>
  </si>
  <si>
    <t>0.01 - 2.22 (m=0.08, µ=0.10, µpop=0.29)</t>
  </si>
  <si>
    <t>0.07 - 0.91 (m=0.18, µ=0.26)</t>
  </si>
  <si>
    <t>0.24 - 4.16 (m=0.72, µ=0.82, µadj=1.01)</t>
  </si>
  <si>
    <t>0.01 - 1.58 (m=0.07, µ=0.09)</t>
  </si>
  <si>
    <t>0.07 - 0.73 (m=0.14, µ=0.20)</t>
  </si>
  <si>
    <t>0.36 - 5.28 (m=0.79, µ=0.93, µadj=1.16)</t>
  </si>
  <si>
    <t>0.00 - 1.87 (m=0.04, µ=0.07, µpop=0.24)</t>
  </si>
  <si>
    <t>0.04 - 0.47 (m=0.09, µ=0.13)</t>
  </si>
  <si>
    <t>0.33 - 4.15 (m=0.70, µ=0.81, µadj=0.98)</t>
  </si>
  <si>
    <t>0.01 - 3.06 (m=0.12, µ=0.16, µpop=0.42)</t>
  </si>
  <si>
    <t>0.09 - 1.16 (m=0.23, µ=0.34)</t>
  </si>
  <si>
    <t>0.30 - 5.50 (m=0.92, µ=1.04, µadj=1.31)</t>
  </si>
  <si>
    <t>0.01 - 2.98 (m=0.07, µ=0.11, µpop=0.39)</t>
  </si>
  <si>
    <t>0.01 - 1.88 (m=0.09, µ=0.10)</t>
  </si>
  <si>
    <t>0.08 - 0.86 (m=0.17, µ=0.24)</t>
  </si>
  <si>
    <t>0.44 - 6.24 (m=0.95, µ=1.11, µadj=1.39)</t>
  </si>
  <si>
    <t>0.00 - 2.04 (m=0.05, µ=0.07, µpop=0.27)</t>
  </si>
  <si>
    <t>0.39 - 4.44 (m=0.80, µ=0.91, µadj=1.11)</t>
  </si>
  <si>
    <t>0.02 - 5.77 (m=0.24, µ=0.31, µpop=0.81)</t>
  </si>
  <si>
    <t>0.01 - 1.79 (m=0.10, µ=0.11)</t>
  </si>
  <si>
    <t>0.10 - 1.26 (m=0.25, µ=0.37)</t>
  </si>
  <si>
    <t>0.34 - 8.39 (m=1.10, µ=1.23, µadj=1.73)</t>
  </si>
  <si>
    <t>0.01 - 3.55 (m=0.09, µ=0.14, µpop=0.47)</t>
  </si>
  <si>
    <t>0.01 - 2.20 (m=0.10, µ=0.12)</t>
  </si>
  <si>
    <t>0.10 - 1.01 (m=0.20, µ=0.28)</t>
  </si>
  <si>
    <t>0.46 - 7.03 (m=1.02, µ=1.19, µadj=1.53)</t>
  </si>
  <si>
    <t>0.00 - 2.16 (m=0.05, µ=0.08, µpop=0.28)</t>
  </si>
  <si>
    <t>0.39 - 4.51 (m=0.80, µ=0.92, µadj=1.12)</t>
  </si>
  <si>
    <t>0.02 - 0.29 (m=0.09, µ=0.10, µadj=0.11)</t>
  </si>
  <si>
    <t>0.00 - 0.02 (m=0.00, µ=0.01)</t>
  </si>
  <si>
    <t>0.01 - 0.07 (m=0.01, µ=0.02)</t>
  </si>
  <si>
    <t>0.02 - 0.38 (m=0.11, µ=0.12, µadj=0.13)</t>
  </si>
  <si>
    <t>0.02 - 0.35 (m=0.11, µ=0.12, µadj=0.14)</t>
  </si>
  <si>
    <t>0.00 - 0.32 (m=0.01, µ=0.01, µpop=0.04)</t>
  </si>
  <si>
    <t>0.02 - 0.54 (m=0.12, µ=0.13, µadj=0.15)</t>
  </si>
  <si>
    <t>0.00 - 0.18 (m=0.00, µ=0.01, µpop=0.02)</t>
  </si>
  <si>
    <t>0.02 - 0.40 (m=0.12, µ=0.13, µadj=0.14)</t>
  </si>
  <si>
    <t>0.00 - 0.19 (m=0.08, µ=0.08, µadj=0.08)</t>
  </si>
  <si>
    <t>0.00 - 0.16 (m=0.09, µ=0.08, µadj=0.08)</t>
  </si>
  <si>
    <t>0.01 - 0.41 (m=0.12, µ=0.11, µadj=0.11)</t>
  </si>
  <si>
    <t>0.00 - 0.17 (m=0.09, µ=0.08, µadj=0.08)</t>
  </si>
  <si>
    <t xml:space="preserve">H2 Gaseous FEV </t>
  </si>
  <si>
    <t>H2 Gaseous FEV - Light Duty Auto - 2005 - NH3 Excluded - $6M Cost of Life - ¢2007</t>
  </si>
  <si>
    <t>H2 Gaseous FEV - Light Duty Auto - 2030 - NH3 Excluded - $6M Cost of Life - ¢2007</t>
  </si>
  <si>
    <t>H2 Gaseous FEV - Light Duty Auto - 2030 35 MPG - NH3 Excluded - $6M Cost of Life - ¢2007 - Results per Mile</t>
  </si>
  <si>
    <t>H2 Gaseous FEV - Light Duty Truck 1 - 2005 - NH3 Excluded - $6M Cost of Life - ¢2007</t>
  </si>
  <si>
    <t>H2 Gaseous FEV - Light Duty Truck 1 - 2030 - NH3 Excluded - $6M Cost of Life - ¢2007</t>
  </si>
  <si>
    <t>H2 Gaseous FEV - Light Duty Truck 1 - 2030 35 MPG - NH3 Excluded - $6M Cost of Life - ¢2007 - Results per Mile</t>
  </si>
  <si>
    <t>H2 Gaseous FEV - Light Duty Truck 2 - 2005 - NH3 Excluded - $6M Cost of Life - ¢2007</t>
  </si>
  <si>
    <t>H2 Gaseous FEV - Light Duty Truck 2 - 2030 - NH3 Excluded - $6M Cost of Life - ¢2007</t>
  </si>
  <si>
    <t>H2 Gaseous FEV - Light Duty Truck 2 - 2030 35 MPG - NH3 Excluded - $6M Cost of Life - ¢2007 - Results per Mile</t>
  </si>
  <si>
    <t>0.00 - 0.56 (m=0.03, µ=0.04)</t>
  </si>
  <si>
    <t>0.16 - 1.66 (m=0.39, µ=0.55)</t>
  </si>
  <si>
    <t>0.21 - 2.01 (m=0.64, µ=0.70)</t>
  </si>
  <si>
    <t>0.38 - 4.17 (m=1.11, µ=1.30, µadj=1.34)</t>
  </si>
  <si>
    <t>0.00 - 0.72 (m=0.03, µ=0.04)</t>
  </si>
  <si>
    <t>0.20 - 1.59 (m=0.38, µ=0.52)</t>
  </si>
  <si>
    <t>0.38 - 3.19 (m=0.90, µ=1.00)</t>
  </si>
  <si>
    <t>0.61 - 5.61 (m=1.32, µ=1.58, µadj=1.64)</t>
  </si>
  <si>
    <t>0.00 - 0.72 (m=0.04, µ=0.05)</t>
  </si>
  <si>
    <t>0.20 - 2.12 (m=0.50, µ=0.71)</t>
  </si>
  <si>
    <t>0.28 - 2.64 (m=0.85, µ=0.93)</t>
  </si>
  <si>
    <t>0.50 - 5.31 (m=1.45, µ=1.70, µadj=1.74)</t>
  </si>
  <si>
    <t>0.00 - 0.86 (m=0.04, µ=0.05)</t>
  </si>
  <si>
    <t>0.23 - 1.89 (m=0.45, µ=0.62)</t>
  </si>
  <si>
    <t>0.51 - 4.19 (m=1.19, µ=1.32)</t>
  </si>
  <si>
    <t>0.78 - 6.94 (m=1.70, µ=2.01, µadj=2.07)</t>
  </si>
  <si>
    <t>0.01 - 0.85 (m=0.05, µ=0.05)</t>
  </si>
  <si>
    <t>0.23 - 2.48 (m=0.59, µ=0.83)</t>
  </si>
  <si>
    <t>0.54 - 5.80 (m=1.55, µ=1.83, µadj=1.87)</t>
  </si>
  <si>
    <t>0.01 - 1.10 (m=0.05, µ=0.06)</t>
  </si>
  <si>
    <t>0.30 - 2.42 (m=0.58, µ=0.79)</t>
  </si>
  <si>
    <t>0.85 - 7.71 (m=1.84, µ=2.19, µadj=2.26)</t>
  </si>
  <si>
    <t>0.00 - 0.53 (m=0.03, µ=0.03)</t>
  </si>
  <si>
    <t>0.14 - 1.56 (m=0.37, µ=0.52)</t>
  </si>
  <si>
    <t>0.18 - 1.68 (m=0.53, µ=0.55)</t>
  </si>
  <si>
    <t>0.34 - 3.90 (m=0.94, µ=1.12, µadj=1.16)</t>
  </si>
  <si>
    <t>0.00 - 0.69 (m=0.03, µ=0.04)</t>
  </si>
  <si>
    <t>0.18 - 1.51 (m=0.36, µ=0.49)</t>
  </si>
  <si>
    <t>0.35 - 2.80 (m=0.74, µ=0.84)</t>
  </si>
  <si>
    <t>0.55 - 5.29 (m=1.15, µ=1.39, µadj=1.45)</t>
  </si>
  <si>
    <t>0.00 - 0.68 (m=0.04, µ=0.04)</t>
  </si>
  <si>
    <t>0.18 - 1.99 (m=0.47, µ=0.67)</t>
  </si>
  <si>
    <t>0.24 - 2.20 (m=0.70, µ=0.73)</t>
  </si>
  <si>
    <t>0.45 - 4.97 (m=1.23, µ=1.46, µadj=1.49)</t>
  </si>
  <si>
    <t>0.00 - 0.82 (m=0.04, µ=0.04)</t>
  </si>
  <si>
    <t>0.22 - 1.79 (m=0.43, µ=0.59)</t>
  </si>
  <si>
    <t>0.46 - 3.67 (m=0.99, µ=1.11)</t>
  </si>
  <si>
    <t>0.71 - 6.53 (m=1.47, µ=1.76, µadj=1.82)</t>
  </si>
  <si>
    <t>0.00 - 0.80 (m=0.04, µ=0.05)</t>
  </si>
  <si>
    <t>0.22 - 2.33 (m=0.55, µ=0.79)</t>
  </si>
  <si>
    <t>0.48 - 5.43 (m=1.32, µ=1.58, µadj=1.62)</t>
  </si>
  <si>
    <t>0.01 - 1.04 (m=0.05, µ=0.06)</t>
  </si>
  <si>
    <t>0.28 - 2.29 (m=0.55, µ=0.75)</t>
  </si>
  <si>
    <t>0.77 - 7.26 (m=1.60, µ=1.93, µadj=1.99)</t>
  </si>
  <si>
    <t>0.01 - 0.21 (m=0.08, µ=0.08)</t>
  </si>
  <si>
    <t>0.02 - 0.30 (m=0.10, µ=0.11, µadj=0.11)</t>
  </si>
  <si>
    <t>0.02 - 0.26 (m=0.09, µ=0.09)</t>
  </si>
  <si>
    <t>0.03 - 0.35 (m=0.11, µ=0.12, µadj=0.12)</t>
  </si>
  <si>
    <t>0.01 - 0.11 (m=0.02, µ=0.03)</t>
  </si>
  <si>
    <t>0.01 - 0.28 (m=0.11, µ=0.11)</t>
  </si>
  <si>
    <t>0.03 - 0.39 (m=0.14, µ=0.14, µadj=0.15)</t>
  </si>
  <si>
    <t>0.02 - 0.35 (m=0.12, µ=0.13)</t>
  </si>
  <si>
    <t>0.04 - 0.45 (m=0.15, µ=0.16, µadj=0.16)</t>
  </si>
  <si>
    <t>0.01 - 0.13 (m=0.03, µ=0.04)</t>
  </si>
  <si>
    <t>0.03 - 0.41 (m=0.14, µ=0.15, µadj=0.15)</t>
  </si>
  <si>
    <t>0.01 - 0.12 (m=0.03, µ=0.04)</t>
  </si>
  <si>
    <t>0.04 - 0.48 (m=0.15, µ=0.17, µadj=0.17)</t>
  </si>
  <si>
    <t>0.01 - 0.18 (m=0.10, µ=0.10, µadj=0.10)</t>
  </si>
  <si>
    <t xml:space="preserve">HDGV2B </t>
  </si>
  <si>
    <t>HDGV2B - 2005 - NH3 Excluded - $6M Cost of Life - ¢2007</t>
  </si>
  <si>
    <t>HDGV2B - 2030 - NH3 Excluded - $6M Cost of Life - ¢2007</t>
  </si>
  <si>
    <t>-0.04 - 21.67 (m=1.07, µ=1.33, µpop=3.19)</t>
  </si>
  <si>
    <t>0.05 - 7.90 (m=0.43, µ=0.49)</t>
  </si>
  <si>
    <t>0.72 - 7.81 (m=1.79, µ=2.46)</t>
  </si>
  <si>
    <t/>
  </si>
  <si>
    <t>1.01 - 31.89 (m=3.66, µ=4.28, µadj=6.14)</t>
  </si>
  <si>
    <t>0.01 - 5.29 (m=0.15, µ=0.21, µpop=0.73)</t>
  </si>
  <si>
    <t>0.02 - 4.03 (m=0.14, µ=0.17)</t>
  </si>
  <si>
    <t>0.31 - 3.85 (m=0.66, µ=0.98)</t>
  </si>
  <si>
    <t>0.36 - 11.43 (m=1.00, µ=1.36, µadj=1.87)</t>
  </si>
  <si>
    <t>-0.08 - 20.44 (m=0.92, µ=1.17, µpop=2.98)</t>
  </si>
  <si>
    <t>0.04 - 7.43 (m=0.39, µ=0.45)</t>
  </si>
  <si>
    <t>0.67 - 7.35 (m=1.67, µ=2.32)</t>
  </si>
  <si>
    <t>0.94 - 30.11 (m=3.28, µ=3.95, µadj=5.75)</t>
  </si>
  <si>
    <t>0.01 - 5.02 (m=0.14, µ=0.20, µpop=0.69)</t>
  </si>
  <si>
    <t>0.02 - 3.82 (m=0.14, µ=0.16)</t>
  </si>
  <si>
    <t>0.29 - 3.64 (m=0.63, µ=0.93)</t>
  </si>
  <si>
    <t>0.34 - 10.82 (m=0.94, µ=1.29, µadj=1.78)</t>
  </si>
  <si>
    <t>0.00 - 1.15 (m=0.04, µ=0.05, µpop=0.14)</t>
  </si>
  <si>
    <t>0.00 - 0.43 (m=0.02, µ=0.02)</t>
  </si>
  <si>
    <t>0.04 - 0.41 (m=0.08, µ=0.11)</t>
  </si>
  <si>
    <t>0.05 - 1.64 (m=0.14, µ=0.18, µadj=0.27)</t>
  </si>
  <si>
    <t>0.02 - 0.19 (m=0.03, µ=0.04)</t>
  </si>
  <si>
    <t>0.02 - 0.57 (m=0.04, µ=0.06, µadj=0.08)</t>
  </si>
  <si>
    <t>0.00 - 1.09 (m=0.04, µ=0.10, µpop=0.07)</t>
  </si>
  <si>
    <t>0.01 - 0.05 (m=0.02, µ=0.03)</t>
  </si>
  <si>
    <t>0.02 - 1.30 (m=0.08, µ=0.15, µadj=0.12)</t>
  </si>
  <si>
    <t>0.00 - 0.06 (m=0.00, µ=0.01, µpop=0.01)</t>
  </si>
  <si>
    <t>0.00 - 0.07 (m=0.01, µ=0.01, µadj=0.01)</t>
  </si>
  <si>
    <t xml:space="preserve">HDGV3 </t>
  </si>
  <si>
    <t>HDGV3 - 2005 - NH3 Excluded - $6M Cost of Life - ¢2007</t>
  </si>
  <si>
    <t>HDGV3 - 2030 - NH3 Excluded - $6M Cost of Life - ¢2007</t>
  </si>
  <si>
    <t>0.09 - 27.45 (m=1.27, µ=1.58, µpop=3.94)</t>
  </si>
  <si>
    <t>0.05 - 8.46 (m=0.46, µ=0.53)</t>
  </si>
  <si>
    <t>0.81 - 8.53 (m=2.00, µ=2.75)</t>
  </si>
  <si>
    <t>1.15 - 38.82 (m=4.18, µ=4.87, µadj=7.23)</t>
  </si>
  <si>
    <t>0.02 - 8.85 (m=0.23, µ=0.33, µpop=1.18)</t>
  </si>
  <si>
    <t>0.02 - 4.11 (m=0.15, µ=0.17)</t>
  </si>
  <si>
    <t>0.34 - 4.04 (m=0.72, µ=1.06)</t>
  </si>
  <si>
    <t>0.41 - 13.86 (m=1.15, µ=1.56, µadj=2.41)</t>
  </si>
  <si>
    <t>0.08 - 25.90 (m=1.10, µ=1.41, µpop=3.68)</t>
  </si>
  <si>
    <t>0.05 - 7.96 (m=0.43, µ=0.49)</t>
  </si>
  <si>
    <t>0.76 - 8.03 (m=1.87, µ=2.60)</t>
  </si>
  <si>
    <t>1.06 - 36.68 (m=3.73, µ=4.49, µadj=6.77)</t>
  </si>
  <si>
    <t>0.02 - 8.40 (m=0.21, µ=0.31, µpop=1.12)</t>
  </si>
  <si>
    <t>0.02 - 3.89 (m=0.14, µ=0.16)</t>
  </si>
  <si>
    <t>0.32 - 3.82 (m=0.68, µ=1.00)</t>
  </si>
  <si>
    <t>0.38 - 13.12 (m=1.08, µ=1.48, µadj=2.29)</t>
  </si>
  <si>
    <t>0.00 - 1.44 (m=0.04, µ=0.06, µpop=0.17)</t>
  </si>
  <si>
    <t>0.00 - 0.46 (m=0.02, µ=0.02)</t>
  </si>
  <si>
    <t>0.04 - 0.45 (m=0.09, µ=0.12)</t>
  </si>
  <si>
    <t>0.06 - 1.98 (m=0.16, µ=0.20, µadj=0.32)</t>
  </si>
  <si>
    <t>0.00 - 0.42 (m=0.01, µ=0.01, µpop=0.05)</t>
  </si>
  <si>
    <t>0.02 - 0.69 (m=0.05, µ=0.07, µadj=0.11)</t>
  </si>
  <si>
    <t>0.00 - 1.25 (m=0.05, µ=0.12, µpop=0.09)</t>
  </si>
  <si>
    <t>0.00 - 0.20 (m=0.01, µ=0.02)</t>
  </si>
  <si>
    <t>0.02 - 1.50 (m=0.09, µ=0.17, µadj=0.14)</t>
  </si>
  <si>
    <t>0.00 - 0.10 (m=0.01, µ=0.02, µadj=0.02)</t>
  </si>
  <si>
    <t xml:space="preserve">HDDV2B </t>
  </si>
  <si>
    <t>HDDV2B - 2005 - NH3 Excluded - $6M Cost of Life - ¢2007</t>
  </si>
  <si>
    <t>HDDV2B - 2030 - NH3 Excluded - $6M Cost of Life - ¢2007</t>
  </si>
  <si>
    <t>-1.29 - 15.19 (m=0.87, µ=1.08, µpop=2.30)</t>
  </si>
  <si>
    <t>0.02 - 2.83 (m=0.21, µ=0.24)</t>
  </si>
  <si>
    <t>0.23 - 2.01 (m=0.53, µ=0.68)</t>
  </si>
  <si>
    <t>0.46 - 18.79 (m=1.84, µ=2.01, µadj=3.23)</t>
  </si>
  <si>
    <t>0.01 - 2.82 (m=0.11, µ=0.15, µpop=0.43)</t>
  </si>
  <si>
    <t>0.02 - 4.17 (m=0.15, µ=0.17)</t>
  </si>
  <si>
    <t>0.19 - 2.76 (m=0.42, µ=0.63)</t>
  </si>
  <si>
    <t>0.24 - 8.63 (m=0.73, µ=0.96, µadj=1.23)</t>
  </si>
  <si>
    <t>-1.25 - 14.44 (m=0.76, µ=0.95, µpop=2.14)</t>
  </si>
  <si>
    <t>0.02 - 2.66 (m=0.19, µ=0.22)</t>
  </si>
  <si>
    <t>0.22 - 1.89 (m=0.49, µ=0.64)</t>
  </si>
  <si>
    <t>0.42 - 17.86 (m=1.63, µ=1.81, µadj=3.00)</t>
  </si>
  <si>
    <t>0.01 - 2.67 (m=0.10, µ=0.14, µpop=0.40)</t>
  </si>
  <si>
    <t>0.02 - 3.95 (m=0.14, µ=0.16)</t>
  </si>
  <si>
    <t>0.18 - 2.61 (m=0.40, µ=0.60)</t>
  </si>
  <si>
    <t>0.22 - 8.17 (m=0.68, µ=0.90, µadj=1.17)</t>
  </si>
  <si>
    <t>-0.06 - 0.81 (m=0.03, µ=0.04, µpop=0.10)</t>
  </si>
  <si>
    <t>0.02 - 0.99 (m=0.07, µ=0.08, µadj=0.14)</t>
  </si>
  <si>
    <t>0.00 - 0.14 (m=0.00, µ=0.01, µpop=0.02)</t>
  </si>
  <si>
    <t>0.01 - 0.43 (m=0.03, µ=0.04, µadj=0.05)</t>
  </si>
  <si>
    <t>0.00 - 1.00 (m=0.04, µ=0.09, µpop=0.06)</t>
  </si>
  <si>
    <t>0.01 - 1.16 (m=0.05, µ=0.12, µadj=0.09)</t>
  </si>
  <si>
    <t>0.00 - 0.08 (m=0.01, µ=0.01, µadj=0.01)</t>
  </si>
  <si>
    <t xml:space="preserve">HDDV3 </t>
  </si>
  <si>
    <t>HDDV3 - 2005 - NH3 Excluded - $6M Cost of Life - ¢2007</t>
  </si>
  <si>
    <t>HDDV3 - 2030 - NH3 Excluded - $6M Cost of Life - ¢2007</t>
  </si>
  <si>
    <t>-1.49 - 16.73 (m=0.97, µ=1.20, µpop=2.54)</t>
  </si>
  <si>
    <t>0.02 - 3.22 (m=0.24, µ=0.27)</t>
  </si>
  <si>
    <t>0.26 - 2.28 (m=0.60, µ=0.77)</t>
  </si>
  <si>
    <t>0.51 - 20.76 (m=2.05, µ=2.24, µadj=3.58)</t>
  </si>
  <si>
    <t>0.01 - 3.14 (m=0.13, µ=0.17, µpop=0.47)</t>
  </si>
  <si>
    <t>0.02 - 4.79 (m=0.17, µ=0.19)</t>
  </si>
  <si>
    <t>0.21 - 3.16 (m=0.48, µ=0.73)</t>
  </si>
  <si>
    <t>0.27 - 9.87 (m=0.82, µ=1.09, µadj=1.39)</t>
  </si>
  <si>
    <t>-1.44 - 15.90 (m=0.84, µ=1.05, µpop=2.36)</t>
  </si>
  <si>
    <t>0.02 - 3.03 (m=0.22, µ=0.25)</t>
  </si>
  <si>
    <t>0.24 - 2.15 (m=0.55, µ=0.72)</t>
  </si>
  <si>
    <t>0.47 - 19.74 (m=1.81, µ=2.02, µadj=3.33)</t>
  </si>
  <si>
    <t>0.01 - 2.97 (m=0.11, µ=0.15, µpop=0.45)</t>
  </si>
  <si>
    <t>0.02 - 4.53 (m=0.16, µ=0.18)</t>
  </si>
  <si>
    <t>0.20 - 2.99 (m=0.46, µ=0.69)</t>
  </si>
  <si>
    <t>0.25 - 9.34 (m=0.77, µ=1.03, µadj=1.32)</t>
  </si>
  <si>
    <t>-0.07 - 0.89 (m=0.03, µ=0.04, µpop=0.11)</t>
  </si>
  <si>
    <t>0.00 - 0.17 (m=0.01, µ=0.01)</t>
  </si>
  <si>
    <t>0.01 - 0.12 (m=0.03, µ=0.03)</t>
  </si>
  <si>
    <t>0.02 - 1.09 (m=0.08, µ=0.09, µadj=0.15)</t>
  </si>
  <si>
    <t>0.00 - 0.24 (m=0.01, µ=0.01)</t>
  </si>
  <si>
    <t>0.01 - 0.16 (m=0.02, µ=0.03)</t>
  </si>
  <si>
    <t>0.01 - 0.49 (m=0.03, µ=0.05, µadj=0.06)</t>
  </si>
  <si>
    <t>0.00 - 1.12 (m=0.04, µ=0.10, µpop=0.07)</t>
  </si>
  <si>
    <t>0.01 - 1.29 (m=0.06, µ=0.13, µadj=0.10)</t>
  </si>
  <si>
    <t xml:space="preserve">HDDV4 </t>
  </si>
  <si>
    <t>HDDV4 - 2005 - NH3 Excluded - $6M Cost of Life - ¢2007</t>
  </si>
  <si>
    <t>HDDV4 - 2030 - NH3 Excluded - $6M Cost of Life - ¢2007</t>
  </si>
  <si>
    <t>-2.28 - 18.49 (m=1.12, µ=1.39, µpop=2.79)</t>
  </si>
  <si>
    <t>0.03 - 3.29 (m=0.27, µ=0.30)</t>
  </si>
  <si>
    <t>0.28 - 2.31 (m=0.64, µ=0.80)</t>
  </si>
  <si>
    <t>0.20 - 22.83 (m=2.28, µ=2.49, µadj=3.90)</t>
  </si>
  <si>
    <t>0.01 - 3.58 (m=0.17, µ=0.22, µpop=0.57)</t>
  </si>
  <si>
    <t>0.02 - 4.95 (m=0.18, µ=0.21)</t>
  </si>
  <si>
    <t>0.23 - 3.27 (m=0.50, µ=0.76)</t>
  </si>
  <si>
    <t>0.29 - 10.26 (m=0.91, µ=1.18, µadj=1.53)</t>
  </si>
  <si>
    <t>-2.18 - 17.58 (m=0.98, µ=1.21, µpop=2.59)</t>
  </si>
  <si>
    <t>0.02 - 3.10 (m=0.24, µ=0.27)</t>
  </si>
  <si>
    <t>0.26 - 2.18 (m=0.59, µ=0.75)</t>
  </si>
  <si>
    <t>0.13 - 21.70 (m=2.02, µ=2.24, µadj=3.62)</t>
  </si>
  <si>
    <t>0.01 - 3.38 (m=0.15, µ=0.20, µpop=0.53)</t>
  </si>
  <si>
    <t>0.02 - 4.68 (m=0.17, µ=0.20)</t>
  </si>
  <si>
    <t>0.21 - 3.09 (m=0.48, µ=0.72)</t>
  </si>
  <si>
    <t>0.28 - 9.71 (m=0.85, µ=1.11, µadj=1.45)</t>
  </si>
  <si>
    <t>-0.11 - 0.95 (m=0.04, µ=0.05, µpop=0.12)</t>
  </si>
  <si>
    <t>0.03 - 1.17 (m=0.08, µ=0.10, µadj=0.17)</t>
  </si>
  <si>
    <t>0.00 - 0.18 (m=0.01, µ=0.01, µpop=0.02)</t>
  </si>
  <si>
    <t>0.01 - 0.51 (m=0.04, µ=0.05, µadj=0.07)</t>
  </si>
  <si>
    <t>0.00 - 1.36 (m=0.05, µ=0.13, µpop=0.09)</t>
  </si>
  <si>
    <t>0.00 - 0.19 (m=0.01, µ=0.02)</t>
  </si>
  <si>
    <t>0.01 - 1.57 (m=0.07, µ=0.16, µadj=0.12)</t>
  </si>
  <si>
    <t>0.00 - 0.11 (m=0.00, µ=0.01, µpop=0.01)</t>
  </si>
  <si>
    <t>0.00 - 0.13 (m=0.01, µ=0.02, µadj=0.01)</t>
  </si>
  <si>
    <t xml:space="preserve">HDDV5 </t>
  </si>
  <si>
    <t>HDDV5 - 2005 - NH3 Excluded - $6M Cost of Life - ¢2007</t>
  </si>
  <si>
    <t>HDDV5 - 2030 - NH3 Excluded - $6M Cost of Life - ¢2007</t>
  </si>
  <si>
    <t>-0.86 - 26.30 (m=1.35, µ=1.69, µpop=3.90)</t>
  </si>
  <si>
    <t>0.03 - 4.01 (m=0.30, µ=0.35)</t>
  </si>
  <si>
    <t>0.35 - 2.95 (m=0.81, µ=1.04)</t>
  </si>
  <si>
    <t>0.68 - 31.87 (m=2.81, µ=3.08, µadj=5.29)</t>
  </si>
  <si>
    <t>0.01 - 4.23 (m=0.19, µ=0.24, µpop=0.66)</t>
  </si>
  <si>
    <t>0.03 - 5.63 (m=0.21, µ=0.23)</t>
  </si>
  <si>
    <t>0.26 - 3.72 (m=0.57, µ=0.86)</t>
  </si>
  <si>
    <t>0.33 - 11.79 (m=1.03, µ=1.34, µadj=1.76)</t>
  </si>
  <si>
    <t>-0.86 - 24.77 (m=1.18, µ=1.49, µpop=3.64)</t>
  </si>
  <si>
    <t>0.03 - 3.77 (m=0.27, µ=0.31)</t>
  </si>
  <si>
    <t>0.33 - 2.78 (m=0.75, µ=0.98)</t>
  </si>
  <si>
    <t>0.63 - 30.04 (m=2.48, µ=2.79, µadj=4.93)</t>
  </si>
  <si>
    <t>0.01 - 4.00 (m=0.17, µ=0.22, µpop=0.62)</t>
  </si>
  <si>
    <t>0.02 - 5.32 (m=0.20, µ=0.22)</t>
  </si>
  <si>
    <t>0.24 - 3.52 (m=0.54, µ=0.82)</t>
  </si>
  <si>
    <t>0.31 - 11.16 (m=0.96, µ=1.26, µadj=1.66)</t>
  </si>
  <si>
    <t>-0.02 - 1.42 (m=0.05, µ=0.06, µpop=0.17)</t>
  </si>
  <si>
    <t>0.00 - 0.22 (m=0.01, µ=0.01)</t>
  </si>
  <si>
    <t>0.02 - 0.16 (m=0.04, µ=0.05)</t>
  </si>
  <si>
    <t>0.03 - 1.70 (m=0.10, µ=0.12, µadj=0.23)</t>
  </si>
  <si>
    <t>0.00 - 0.22 (m=0.01, µ=0.01, µpop=0.03)</t>
  </si>
  <si>
    <t>0.00 - 0.28 (m=0.01, µ=0.01)</t>
  </si>
  <si>
    <t>0.02 - 0.59 (m=0.04, µ=0.06, µadj=0.08)</t>
  </si>
  <si>
    <t>0.00 - 1.43 (m=0.05, µ=0.13, µpop=0.09)</t>
  </si>
  <si>
    <t>0.00 - 0.02 (m=0.01, µ=0.02)</t>
  </si>
  <si>
    <t>0.01 - 1.65 (m=0.08, µ=0.17, µadj=0.13)</t>
  </si>
  <si>
    <t>0.00 - 0.14 (m=0.01, µ=0.02, µadj=0.02)</t>
  </si>
  <si>
    <t xml:space="preserve">HDDV6 </t>
  </si>
  <si>
    <t>HDDV6 - 2005 - NH3 Excluded - $6M Cost of Life - ¢2007</t>
  </si>
  <si>
    <t>HDDV6 - 2030 - NH3 Excluded - $6M Cost of Life - ¢2007</t>
  </si>
  <si>
    <t>-2.26 - 31.81 (m=1.79, µ=2.22, µpop=4.83)</t>
  </si>
  <si>
    <t>0.04 - 4.67 (m=0.39, µ=0.44)</t>
  </si>
  <si>
    <t>0.43 - 3.34 (m=0.97, µ=1.22)</t>
  </si>
  <si>
    <t>0.88 - 38.38 (m=3.55, µ=3.88, µadj=6.49)</t>
  </si>
  <si>
    <t>0.01 - 4.60 (m=0.20, µ=0.26, µpop=0.72)</t>
  </si>
  <si>
    <t>0.03 - 6.49 (m=0.24, µ=0.27)</t>
  </si>
  <si>
    <t>0.29 - 4.29 (m=0.66, µ=0.99)</t>
  </si>
  <si>
    <t>0.38 - 13.47 (m=1.17, µ=1.52, µadj=1.97)</t>
  </si>
  <si>
    <t>-2.20 - 30.25 (m=1.56, µ=1.95, µpop=4.49)</t>
  </si>
  <si>
    <t>0.03 - 4.44 (m=0.34, µ=0.40)</t>
  </si>
  <si>
    <t>0.40 - 3.15 (m=0.89, µ=1.15)</t>
  </si>
  <si>
    <t>0.81 - 36.49 (m=3.14, µ=3.49, µadj=6.04)</t>
  </si>
  <si>
    <t>0.01 - 4.35 (m=0.18, µ=0.24, µpop=0.68)</t>
  </si>
  <si>
    <t>0.03 - 6.15 (m=0.23, µ=0.25)</t>
  </si>
  <si>
    <t>0.28 - 4.06 (m=0.62, µ=0.94)</t>
  </si>
  <si>
    <t>0.36 - 12.75 (m=1.09, µ=1.44, µadj=1.87)</t>
  </si>
  <si>
    <t>-0.09 - 1.71 (m=0.06, µ=0.08, µpop=0.21)</t>
  </si>
  <si>
    <t>0.00 - 0.25 (m=0.01, µ=0.02)</t>
  </si>
  <si>
    <t>0.02 - 0.18 (m=0.04, µ=0.05)</t>
  </si>
  <si>
    <t>0.04 - 2.04 (m=0.13, µ=0.15, µadj=0.28)</t>
  </si>
  <si>
    <t>0.00 - 0.23 (m=0.01, µ=0.01, µpop=0.03)</t>
  </si>
  <si>
    <t>0.01 - 0.21 (m=0.03, µ=0.04)</t>
  </si>
  <si>
    <t>0.02 - 0.67 (m=0.05, µ=0.07, µadj=0.09)</t>
  </si>
  <si>
    <t>0.00 - 2.01 (m=0.08, µ=0.19, µpop=0.13)</t>
  </si>
  <si>
    <t>0.00 - 0.28 (m=0.01, µ=0.03)</t>
  </si>
  <si>
    <t>0.01 - 2.32 (m=0.11, µ=0.24, µadj=0.18)</t>
  </si>
  <si>
    <t>0.00 - 0.12 (m=0.01, µ=0.01, µpop=0.01)</t>
  </si>
  <si>
    <t>0.00 - 0.15 (m=0.01, µ=0.02, µadj=0.02)</t>
  </si>
  <si>
    <t xml:space="preserve">HDDV7 </t>
  </si>
  <si>
    <t>HDDV7 - 2005 - NH3 Excluded - $6M Cost of Life - ¢2007</t>
  </si>
  <si>
    <t>HDDV7 - 2030 - NH3 Excluded - $6M Cost of Life - ¢2007</t>
  </si>
  <si>
    <t>-2.81 - 39.59 (m=2.23, µ=2.76, µpop=6.01)</t>
  </si>
  <si>
    <t>0.04 - 5.66 (m=0.47, µ=0.53)</t>
  </si>
  <si>
    <t>0.52 - 3.94 (m=1.17, µ=1.47)</t>
  </si>
  <si>
    <t>1.08 - 47.53 (m=4.33, µ=4.76, µadj=8.01)</t>
  </si>
  <si>
    <t>0.02 - 6.08 (m=0.26, µ=0.34, µpop=0.93)</t>
  </si>
  <si>
    <t>0.03 - 7.45 (m=0.28, µ=0.31)</t>
  </si>
  <si>
    <t>0.34 - 4.93 (m=0.76, µ=1.15)</t>
  </si>
  <si>
    <t>0.45 - 15.92 (m=1.38, µ=1.80, µadj=2.39)</t>
  </si>
  <si>
    <t>-2.73 - 37.65 (m=1.94, µ=2.42, µpop=5.59)</t>
  </si>
  <si>
    <t>0.04 - 5.38 (m=0.42, µ=0.48)</t>
  </si>
  <si>
    <t>0.49 - 3.70 (m=1.08, µ=1.38)</t>
  </si>
  <si>
    <t>0.99 - 45.19 (m=3.85, µ=4.28, µadj=7.45)</t>
  </si>
  <si>
    <t>0.02 - 5.75 (m=0.23, µ=0.31, µpop=0.88)</t>
  </si>
  <si>
    <t>0.03 - 7.05 (m=0.26, µ=0.29)</t>
  </si>
  <si>
    <t>0.32 - 4.67 (m=0.72, µ=1.09)</t>
  </si>
  <si>
    <t>0.42 - 15.07 (m=1.29, µ=1.69, µadj=2.26)</t>
  </si>
  <si>
    <t>-0.12 - 2.13 (m=0.08, µ=0.10, µpop=0.26)</t>
  </si>
  <si>
    <t>0.00 - 0.30 (m=0.02, µ=0.02)</t>
  </si>
  <si>
    <t>0.03 - 0.21 (m=0.05, µ=0.07)</t>
  </si>
  <si>
    <t>0.05 - 2.53 (m=0.16, µ=0.19, µadj=0.34)</t>
  </si>
  <si>
    <t>0.00 - 0.31 (m=0.01, µ=0.01, µpop=0.04)</t>
  </si>
  <si>
    <t>0.00 - 0.37 (m=0.01, µ=0.01)</t>
  </si>
  <si>
    <t>0.02 - 0.24 (m=0.03, µ=0.05)</t>
  </si>
  <si>
    <t>0.02 - 0.79 (m=0.06, µ=0.08, µadj=0.10)</t>
  </si>
  <si>
    <t>0.00 - 2.50 (m=0.09, µ=0.23, µpop=0.16)</t>
  </si>
  <si>
    <t>0.00 - 0.35 (m=0.02, µ=0.04)</t>
  </si>
  <si>
    <t>0.01 - 0.04 (m=0.02, µ=0.02)</t>
  </si>
  <si>
    <t>0.02 - 2.89 (m=0.13, µ=0.29, µadj=0.22)</t>
  </si>
  <si>
    <t>0.00 - 0.15 (m=0.01, µ=0.02, µpop=0.01)</t>
  </si>
  <si>
    <t>0.00 - 0.18 (m=0.02, µ=0.03, µadj=0.02)</t>
  </si>
  <si>
    <t xml:space="preserve">HDDV8A </t>
  </si>
  <si>
    <t>HDDV8A - 2005 - NH3 Excluded - $6M Cost of Life - ¢2007</t>
  </si>
  <si>
    <t>HDDV8A - 2030 - NH3 Excluded - $6M Cost of Life - ¢2007</t>
  </si>
  <si>
    <t>-4.62 - 47.44 (m=2.77, µ=3.43, µpop=7.18)</t>
  </si>
  <si>
    <t>-0.09 - 6.65 (m=0.56, µ=0.64)</t>
  </si>
  <si>
    <t>0.62 - 4.21 (m=1.35, µ=1.65)</t>
  </si>
  <si>
    <t>-0.50 - 56.61 (m=5.15, µ=5.71, µadj=9.47)</t>
  </si>
  <si>
    <t>0.02 - 6.54 (m=0.28, µ=0.37, µpop=1.00)</t>
  </si>
  <si>
    <t>0.04 - 7.82 (m=0.29, µ=0.33)</t>
  </si>
  <si>
    <t>0.36 - 5.18 (m=0.80, µ=1.20)</t>
  </si>
  <si>
    <t>0.47 - 16.77 (m=1.47, µ=1.90, µadj=2.53)</t>
  </si>
  <si>
    <t>-4.45 - 45.10 (m=2.41, µ=3.00, µpop=6.67)</t>
  </si>
  <si>
    <t>-0.11 - 6.32 (m=0.49, µ=0.57)</t>
  </si>
  <si>
    <t>0.58 - 3.97 (m=1.24, µ=1.55)</t>
  </si>
  <si>
    <t>-0.59 - 53.81 (m=4.57, µ=5.12, µadj=8.78)</t>
  </si>
  <si>
    <t>0.02 - 6.19 (m=0.25, µ=0.34, µpop=0.95)</t>
  </si>
  <si>
    <t>0.03 - 7.40 (m=0.27, µ=0.31)</t>
  </si>
  <si>
    <t>0.34 - 4.90 (m=0.76, µ=1.14)</t>
  </si>
  <si>
    <t>0.44 - 15.87 (m=1.37, µ=1.79, µadj=2.40)</t>
  </si>
  <si>
    <t>-0.21 - 2.50 (m=0.09, µ=0.12, µpop=0.31)</t>
  </si>
  <si>
    <t>0.00 - 0.35 (m=0.02, µ=0.02)</t>
  </si>
  <si>
    <t>0.03 - 0.22 (m=0.06, µ=0.07)</t>
  </si>
  <si>
    <t>0.02 - 2.96 (m=0.19, µ=0.22, µadj=0.40)</t>
  </si>
  <si>
    <t>0.00 - 0.39 (m=0.01, µ=0.01)</t>
  </si>
  <si>
    <t>0.02 - 0.25 (m=0.04, µ=0.05)</t>
  </si>
  <si>
    <t>0.02 - 0.83 (m=0.06, µ=0.08, µadj=0.11)</t>
  </si>
  <si>
    <t>0.00 - 3.23 (m=0.12, µ=0.30, µpop=0.21)</t>
  </si>
  <si>
    <t>0.00 - 0.46 (m=0.02, µ=0.05)</t>
  </si>
  <si>
    <t>0.02 - 3.74 (m=0.17, µ=0.38, µadj=0.28)</t>
  </si>
  <si>
    <t>0.01 - 0.20 (m=0.02, µ=0.03, µadj=0.02)</t>
  </si>
  <si>
    <t xml:space="preserve">HDDV8B </t>
  </si>
  <si>
    <t>HDDV8B - 2005 - NH3 Excluded - $6M Cost of Life - ¢2007 - Results per Mile</t>
  </si>
  <si>
    <t>HDDV8B - 2030 - NH3 Excluded - $6M Cost of Life - ¢2007 - Results per Mile</t>
  </si>
  <si>
    <t>-6.12 - 52.76 (m=3.15, µ=3.91, µpop=7.97)</t>
  </si>
  <si>
    <t>-0.33 - 7.28 (m=0.62, µ=0.71)</t>
  </si>
  <si>
    <t>0.68 - 4.25 (m=1.45, µ=1.73)</t>
  </si>
  <si>
    <t>-2.20 - 62.65 (m=5.66, µ=6.35, µadj=10.41)</t>
  </si>
  <si>
    <t>0.02 - 6.98 (m=0.32, µ=0.41, µpop=1.09)</t>
  </si>
  <si>
    <t>0.04 - 7.83 (m=0.30, µ=0.33)</t>
  </si>
  <si>
    <t>0.37 - 5.18 (m=0.81, µ=1.21)</t>
  </si>
  <si>
    <t>0.49 - 16.94 (m=1.52, µ=1.95, µadj=2.63)</t>
  </si>
  <si>
    <t>-5.87 - 50.15 (m=2.75, µ=3.42, µpop=7.39)</t>
  </si>
  <si>
    <t>-0.34 - 6.91 (m=0.54, µ=0.63)</t>
  </si>
  <si>
    <t>0.63 - 4.00 (m=1.32, µ=1.62)</t>
  </si>
  <si>
    <t>-2.21 - 59.54 (m=5.04, µ=5.67, µadj=9.64)</t>
  </si>
  <si>
    <t>0.02 - 6.60 (m=0.28, µ=0.37, µpop=1.03)</t>
  </si>
  <si>
    <t>0.03 - 7.41 (m=0.28, µ=0.31)</t>
  </si>
  <si>
    <t>0.35 - 4.90 (m=0.77, µ=1.15)</t>
  </si>
  <si>
    <t>0.46 - 16.04 (m=1.42, µ=1.84, µadj=2.49)</t>
  </si>
  <si>
    <t>-0.29 - 2.74 (m=0.11, µ=0.14, µpop=0.34)</t>
  </si>
  <si>
    <t>-0.01 - 0.38 (m=0.02, µ=0.03)</t>
  </si>
  <si>
    <t>0.03 - 0.22 (m=0.06, µ=0.08)</t>
  </si>
  <si>
    <t>-0.07 - 3.23 (m=0.21, µ=0.24, µadj=0.44)</t>
  </si>
  <si>
    <t>0.00 - 0.36 (m=0.01, µ=0.02, µpop=0.05)</t>
  </si>
  <si>
    <t>0.02 - 0.26 (m=0.04, µ=0.05)</t>
  </si>
  <si>
    <t>0.02 - 0.84 (m=0.06, µ=0.08, µadj=0.12)</t>
  </si>
  <si>
    <t>0.00 - 3.79 (m=0.14, µ=0.35, µpop=0.24)</t>
  </si>
  <si>
    <t>0.00 - 0.54 (m=0.02, µ=0.05)</t>
  </si>
  <si>
    <t>0.01 - 0.06 (m=0.02, µ=0.03)</t>
  </si>
  <si>
    <t>0.02 - 4.39 (m=0.19, µ=0.44, µadj=0.33)</t>
  </si>
  <si>
    <t>0.00 - 0.20 (m=0.01, µ=0.02, µpop=0.01)</t>
  </si>
  <si>
    <t>0.01 - 0.23 (m=0.02, µ=0.03, µadj=0.03)</t>
  </si>
  <si>
    <t>Vehicle Energy and Emission Factors for Light Duty Autos (LDAs)</t>
  </si>
  <si>
    <t>2030 (Default GREET MPG)</t>
  </si>
  <si>
    <t>2030 (35 MPG)</t>
  </si>
  <si>
    <t>CO2e</t>
  </si>
  <si>
    <t>BTU/VMT</t>
  </si>
  <si>
    <t>g/VMT</t>
  </si>
  <si>
    <t>RFG SI Autos (Convent. Oil)</t>
  </si>
  <si>
    <t>RFG SI Autos (Tar Sands)</t>
  </si>
  <si>
    <t>CG SI Autos (Convent. Oil)</t>
  </si>
  <si>
    <t>CG SI Autos (Tar Sands)</t>
  </si>
  <si>
    <t>RFG SIDI Autos (Convent. Oil)</t>
  </si>
  <si>
    <t>RFG SIDI Autos (Tar Sands)</t>
  </si>
  <si>
    <t>E85 - Dry Corn</t>
  </si>
  <si>
    <t>E85 - Wet Corn</t>
  </si>
  <si>
    <t>E85 - Herbaceous</t>
  </si>
  <si>
    <t>E85 - Corn Stover</t>
  </si>
  <si>
    <t>E10 - Dry Corn</t>
  </si>
  <si>
    <t>E10 - Wet Corn</t>
  </si>
  <si>
    <t>E10 - Herbaceous</t>
  </si>
  <si>
    <t>E10 - Corn Stover</t>
  </si>
  <si>
    <t>Hydrogen (Gaseous)</t>
  </si>
  <si>
    <t>Grid Independent SI HEV</t>
  </si>
  <si>
    <t>Grid Dependent SI HEV</t>
  </si>
  <si>
    <t>Diesel (Low Sulfur)</t>
  </si>
  <si>
    <t>Diesel (Fischer Tropsch)</t>
  </si>
  <si>
    <t>Diesel (Soy BD20)</t>
  </si>
  <si>
    <t>HDGV2B</t>
  </si>
  <si>
    <t>HDGV3</t>
  </si>
  <si>
    <t>HDGV4</t>
  </si>
  <si>
    <t>HDGV5</t>
  </si>
  <si>
    <t>HDGV6</t>
  </si>
  <si>
    <t>HDGV7</t>
  </si>
  <si>
    <t>HDGV8A</t>
  </si>
  <si>
    <t>HDGV8B</t>
  </si>
  <si>
    <t>HDDV2B</t>
  </si>
  <si>
    <t>HDDV3</t>
  </si>
  <si>
    <t>HDDV4</t>
  </si>
  <si>
    <t>HDDV5</t>
  </si>
  <si>
    <t>HDDV6</t>
  </si>
  <si>
    <t>HDDV7</t>
  </si>
  <si>
    <t>HDDV8A</t>
  </si>
  <si>
    <t>HDDV8B</t>
  </si>
  <si>
    <t>HDGV2A</t>
  </si>
  <si>
    <t>HDDV2A</t>
  </si>
  <si>
    <t>Total Emissions Damages ($/kWh)</t>
  </si>
  <si>
    <t>Electricity</t>
  </si>
  <si>
    <t>BEV</t>
  </si>
  <si>
    <t>Total Emissions (mt/kWh)</t>
  </si>
  <si>
    <t>CV</t>
  </si>
  <si>
    <t>Non-Carbon Pollution Costs</t>
  </si>
  <si>
    <t>Carbon Costs</t>
  </si>
  <si>
    <t>CV/E85/CNG</t>
  </si>
  <si>
    <t>HFCV</t>
  </si>
  <si>
    <t>Fuel Production</t>
  </si>
  <si>
    <t>Non-Carbon External Costs From</t>
  </si>
  <si>
    <t>Carbon External Costs From</t>
  </si>
  <si>
    <t>Nox</t>
  </si>
  <si>
    <t>SOx</t>
  </si>
  <si>
    <t>Gasoline Consumption Disruption Externality Scenarios ($/gal)</t>
  </si>
  <si>
    <t>Brown mid (disruption)</t>
  </si>
  <si>
    <t>Gasoline Consumption Monopsony Scenarios ($/gal)</t>
  </si>
  <si>
    <t>Leiby mid (monopsony)</t>
  </si>
  <si>
    <t>Gasoline Consumption Military Spending Scenarios ($/gal)</t>
  </si>
  <si>
    <t>Delucchi low</t>
  </si>
  <si>
    <t>Energy Security</t>
  </si>
  <si>
    <t>$5,500 incremental price quoted in Knittel (2012)</t>
  </si>
  <si>
    <t>Tar Sands Share</t>
  </si>
  <si>
    <t>Share RFG</t>
  </si>
  <si>
    <t>Feedstock Damages (2007$/VMT)</t>
  </si>
  <si>
    <t>Fuel Production Damages (2007$/VMT)</t>
  </si>
  <si>
    <t>Non-Carbon Feedstock Damages (2010$/VMT)</t>
  </si>
  <si>
    <t>Non-Carbon Fuel Production Damages (2010$/VMT)</t>
  </si>
  <si>
    <t>Michalek et al</t>
  </si>
  <si>
    <t>NAS (2010)</t>
  </si>
  <si>
    <t>Electricity (Michelak et al)</t>
  </si>
  <si>
    <t>Social Cost of Carbon</t>
  </si>
  <si>
    <t>Discount rate</t>
  </si>
  <si>
    <t>2007$</t>
  </si>
  <si>
    <t>2010$</t>
  </si>
  <si>
    <t>Vehicle Assembly/Battery Assembly/Upstream Emissions Damages (2010$/ton)</t>
  </si>
  <si>
    <t>Driving Pollutant Valuation (2010$/ton)</t>
  </si>
  <si>
    <t>Source: Michalek et al (2011)</t>
  </si>
  <si>
    <t>Source: Interagency Working Group on the Social Cost of Carbon</t>
  </si>
  <si>
    <t>Price, January 2012</t>
  </si>
  <si>
    <t>Gallon/GGE</t>
  </si>
  <si>
    <t>c/kWh</t>
  </si>
  <si>
    <t>Gasoline  (regular)</t>
  </si>
  <si>
    <t>Compressed natural gas</t>
  </si>
  <si>
    <t>Carbon Price</t>
  </si>
  <si>
    <t>Carbon external ($/gal)</t>
  </si>
  <si>
    <t>http://www.epa.gov/otaq/fuels/gasolinefuels/rfg/index.htm</t>
  </si>
  <si>
    <t>CIDI Vehicle: Soybean-based BD20</t>
  </si>
  <si>
    <t>Grid-Connected SI PHEV: CG and RFG</t>
  </si>
  <si>
    <t xml:space="preserve"> </t>
  </si>
  <si>
    <t xml:space="preserve">N2O </t>
  </si>
  <si>
    <t xml:space="preserve">CH4 </t>
  </si>
  <si>
    <t xml:space="preserve">Brake and Tire Wear PM2.5 </t>
  </si>
  <si>
    <t xml:space="preserve">Exhuast PM2.5 </t>
  </si>
  <si>
    <t xml:space="preserve">Brake and Tire Wear PM10 </t>
  </si>
  <si>
    <t xml:space="preserve">Exhuast PM10 </t>
  </si>
  <si>
    <t xml:space="preserve">NOx </t>
  </si>
  <si>
    <t xml:space="preserve">CO </t>
  </si>
  <si>
    <t xml:space="preserve">Evaporative VOC </t>
  </si>
  <si>
    <t xml:space="preserve">Exhuast VOC </t>
  </si>
  <si>
    <t xml:space="preserve">Gasoline Equivalent MPG </t>
  </si>
  <si>
    <t xml:space="preserve">Hydrogen Fuel-Cell Vehicle </t>
  </si>
  <si>
    <t xml:space="preserve">PHEV: CG and RFG, CS Mode </t>
  </si>
  <si>
    <t xml:space="preserve">PHEV: CG and RFG, CD Mode </t>
  </si>
  <si>
    <t xml:space="preserve">GI HEV: CG and RFG </t>
  </si>
  <si>
    <t xml:space="preserve">CIDI Vehicle: ED </t>
  </si>
  <si>
    <t xml:space="preserve">CIDI Vehicle: BD </t>
  </si>
  <si>
    <t xml:space="preserve">CIDI Vehicle: FTD </t>
  </si>
  <si>
    <t xml:space="preserve">CIDI Vehicle: DME </t>
  </si>
  <si>
    <t xml:space="preserve">SI Vehicle: EtOH FFV </t>
  </si>
  <si>
    <t xml:space="preserve">SI Vehicle: EtOH Low-Level Blend </t>
  </si>
  <si>
    <t xml:space="preserve">SI Vehicle: Dedicated MeOH </t>
  </si>
  <si>
    <t xml:space="preserve">SI Vehicle: Dedicated LNGV </t>
  </si>
  <si>
    <t xml:space="preserve">SI Vehicle: Dedicated CNGV </t>
  </si>
  <si>
    <t xml:space="preserve">SI Vehicle: CARFG </t>
  </si>
  <si>
    <t xml:space="preserve">CIDI Vehicle: CD and LSD </t>
  </si>
  <si>
    <t xml:space="preserve">Items </t>
  </si>
  <si>
    <t>MPG and Emission Ratios: AFV/GV (Model Year 2010)</t>
  </si>
  <si>
    <t xml:space="preserve">SI Vehicle: CG and RFG </t>
  </si>
  <si>
    <t>Baseline Vehicles (Model Year 2010)</t>
  </si>
  <si>
    <t>North America Natural Gas</t>
  </si>
  <si>
    <t>CNG Feedstock Source:</t>
  </si>
  <si>
    <t>Pathway Options</t>
  </si>
  <si>
    <t>Dedicated Spark Ignition engine</t>
  </si>
  <si>
    <t>Vehicle Technology</t>
  </si>
  <si>
    <t>Compressed Natural Gasoline</t>
  </si>
  <si>
    <t>United States</t>
  </si>
  <si>
    <t>Low-Sulfur Diesel Location for Use:</t>
  </si>
  <si>
    <t>Low-Sulfur Diesel: Sulfur Level (ppm):</t>
  </si>
  <si>
    <t>Compression-Ignition, Direct Injection</t>
  </si>
  <si>
    <t>Low Sulfur Diesel</t>
  </si>
  <si>
    <t>Conventional Gasoline Sulfur Level (ppm):</t>
  </si>
  <si>
    <t>Plug-in Hybrid Electric Vehicle engine</t>
  </si>
  <si>
    <t>Grid Independent Hybrid Electric Vehicle engine</t>
  </si>
  <si>
    <t>Spark Ignition Engine</t>
  </si>
  <si>
    <t>FRFG Ethanol Feedstock: Herbaceous Biomass (%):</t>
  </si>
  <si>
    <t>FRFG Ethanol Feedstock: Woody Biomass (%):</t>
  </si>
  <si>
    <t>FRFG Ethanol Feedstock: Corn (%):</t>
  </si>
  <si>
    <t>Conventional Gasoline Oxygenate:</t>
  </si>
  <si>
    <t>FRFG Sulfur Level (ppm):</t>
  </si>
  <si>
    <t>FRFG O2 Content (%):</t>
  </si>
  <si>
    <t>Federal Reformulated Gasoline</t>
  </si>
  <si>
    <t>Others (%):</t>
  </si>
  <si>
    <t>Biomass Electricity (%):</t>
  </si>
  <si>
    <t>Nuclear Power (%):</t>
  </si>
  <si>
    <t>Coal (%):</t>
  </si>
  <si>
    <t>Natural Gas (%):</t>
  </si>
  <si>
    <t>Residual Oil (%):</t>
  </si>
  <si>
    <t>Average Generation Mix</t>
  </si>
  <si>
    <t>Marginal Generation Mix</t>
  </si>
  <si>
    <t>North American Natural Gas</t>
  </si>
  <si>
    <t>NG Based Feedstock Source for Gaseous H2: Station:</t>
  </si>
  <si>
    <t>Fuel-Cell Vehicle</t>
  </si>
  <si>
    <t>Gaseous Hydrogen: Station</t>
  </si>
  <si>
    <t>Biodiesel</t>
  </si>
  <si>
    <t>Average Electricity Generation Mix</t>
  </si>
  <si>
    <t>Type of Electricity Displaced by Cogeneration of Electricity in Biomass-Based Fuel Production Plants:</t>
  </si>
  <si>
    <t>Type of Electricity Displaced by Electricity cogenerated in Biomass-Based Fuel Production Plants</t>
  </si>
  <si>
    <t>Type of Electricity Displaced by Cogeneration of Electricity in NG-Based Fuel Production Plants:</t>
  </si>
  <si>
    <t>Herbaceous Biomass Plant Technology Shares for Electricity Production (%):</t>
  </si>
  <si>
    <t>Woody Biomass Plant Technology Shares for Electricity Production (%):</t>
  </si>
  <si>
    <t>HTGR Plant Technology Shares for Electricity Production: Centrifuge (%):</t>
  </si>
  <si>
    <t>HTGR Plant Technology Shares for Electricity Production: Gas Diffusion (%):</t>
  </si>
  <si>
    <t>LWR Plant Technology Shares for Electricity Production: Centrifuge (%):</t>
  </si>
  <si>
    <t>LWR Plant Technology Shares for Electricity Production: Gas Diffusion (%):</t>
  </si>
  <si>
    <t>Advanced biomass technology share of total biomass power plant capacity (%):</t>
  </si>
  <si>
    <t>Advanced coal technology share of total coal power plant capacity (%):</t>
  </si>
  <si>
    <t>Simple-cycle NG turbine share of total NG power plant capacity (%):</t>
  </si>
  <si>
    <t>NG turbine combined cycle share of total NG power plant capacity (%):</t>
  </si>
  <si>
    <t>Domestic and Foreign CO2 Emissions from LUC Included</t>
  </si>
  <si>
    <t>CO2 Emissions from Potential Land Use Change of Farming:</t>
  </si>
  <si>
    <t>Displacement</t>
  </si>
  <si>
    <t>Co-Products Credit Calculation Method:</t>
  </si>
  <si>
    <t>Share of Process Fuels in Wet Mill Ethanol Plant: Coal (%):</t>
  </si>
  <si>
    <t>Share of Process Fuels in Wet Mill Ethanol Plant: Natural Gas (%):</t>
  </si>
  <si>
    <t>Share of Process Fuels in Dry Mill Ethanol Plant: Coal (%):</t>
  </si>
  <si>
    <t>Share of Process Fuels in Dry Mill Ethanol Plant: Natural Gas (%):</t>
  </si>
  <si>
    <t>Corn Ethanol, Share of Ethanol Plant Type, Wet Milling Plant (%):</t>
  </si>
  <si>
    <t>Corn Ethanol, Share of Ethanol Plant Type, Dry Milling Plant (%):</t>
  </si>
  <si>
    <t>Low-Level Blend Compression Ignition,Direct-Injection engine</t>
  </si>
  <si>
    <t>Low-Level Blend Spark Ignition Engine</t>
  </si>
  <si>
    <t>Flexible-Fuel Vehicle Spark Ignition Engine</t>
  </si>
  <si>
    <t>Share of Ethanol for Low-Level EtOH Blending with Gasoline (%)</t>
  </si>
  <si>
    <t>Share of EtOH for High-Level Blending with Gasoline in Flexible Fuel Vehicles (SI Engines) (%)</t>
  </si>
  <si>
    <t>Share of BD for Blending with Diesel (CIDI Engines) (%)</t>
  </si>
  <si>
    <t>Share of Ethanol for Low-Level Blending with Diesel Fuels (CIDI Engines) (%)</t>
  </si>
  <si>
    <t>Percentage of additives in E-Diesel (%)</t>
  </si>
  <si>
    <t>Share of Conventional Diesel for Blending with Biodiesel (%)</t>
  </si>
  <si>
    <t>Share of Low-Sulfur Diesel for Blending with Biodiesel (%)</t>
  </si>
  <si>
    <t>Share of Low-Sulfur Diesel  for Blending with Ethanol (%)</t>
  </si>
  <si>
    <t>Share of Conventional Diesel for Blending with Ethanol (%)</t>
  </si>
  <si>
    <t>Share of Conventional Gasoline for Blending with Low-Level Ethanol (%)</t>
  </si>
  <si>
    <t>Share of Federal Reformulated Gasoline for Blending with High-Level Ethanol (%)</t>
  </si>
  <si>
    <t>Share of Conventional Gasoline for Blending with High-Level Ethanol (%)</t>
  </si>
  <si>
    <t>Fuel Blends Options</t>
  </si>
  <si>
    <t>Sugar Cane %</t>
  </si>
  <si>
    <t>Forest Residue %</t>
  </si>
  <si>
    <t>Corn Stover %</t>
  </si>
  <si>
    <t>Herbaceous Biomass %</t>
  </si>
  <si>
    <t>Woody Biomass %</t>
  </si>
  <si>
    <t>Corn %</t>
  </si>
  <si>
    <t>Ethanol Production: Corn/Biomass Feedstock Shares</t>
  </si>
  <si>
    <t>Methanol %</t>
  </si>
  <si>
    <t>Ethanol %</t>
  </si>
  <si>
    <t>Electrolysis %</t>
  </si>
  <si>
    <t>NG %</t>
  </si>
  <si>
    <t>Gas H2 Station Production Feedstock Shares</t>
  </si>
  <si>
    <t>Station Production %</t>
  </si>
  <si>
    <t>Central Production %</t>
  </si>
  <si>
    <t>Gas H2 Production: Central/Refueling Station Shares</t>
  </si>
  <si>
    <t>CD %</t>
  </si>
  <si>
    <t>LSD %</t>
  </si>
  <si>
    <t>Low-Sulfur/Conventional Diesel Market Shares</t>
  </si>
  <si>
    <t>CG %</t>
  </si>
  <si>
    <t>RFG %</t>
  </si>
  <si>
    <t>Reformulated/Conventional Gasoline Market Shares</t>
  </si>
  <si>
    <t xml:space="preserve">Transesterification: Energy Use (Btu/lb fuel) </t>
  </si>
  <si>
    <t xml:space="preserve">Transesterification: Bio Oil Use (lb of bio oil/lb fuel) </t>
  </si>
  <si>
    <t xml:space="preserve">Soyoil Extraction: Energy Use (Btu/lb of soyoil) </t>
  </si>
  <si>
    <t xml:space="preserve">Soybean Farming: Energy Use (Btu/bushel) </t>
  </si>
  <si>
    <t xml:space="preserve">Assumptions </t>
  </si>
  <si>
    <t>Biodiesel/Pyrolysis</t>
  </si>
  <si>
    <t xml:space="preserve">Refueling Station Production Efficiency: NA NG as feedstock </t>
  </si>
  <si>
    <t>Gaseous Hydrogen</t>
  </si>
  <si>
    <t xml:space="preserve">Electricity Use of Uranium Enrichment (kWh/SWU): Centrifuge Plants for HTGR electricity generation </t>
  </si>
  <si>
    <t xml:space="preserve">Electricity Use of Uranium Enrichment (kWh/SWU): Gaseous Diffusion Plants for HTGR electricity generation </t>
  </si>
  <si>
    <t xml:space="preserve">Electricity Use of Uranium Enrichment (kWh/SWU): Centrifuge Plants for LWR electricity generation </t>
  </si>
  <si>
    <t xml:space="preserve">Electricity Use of Uranium Enrichment (kWh/SWU): Gaseous Diffusion Plants for LWR electricity generation </t>
  </si>
  <si>
    <t xml:space="preserve">Energy intensity in LWR reactors (MWh/g of U-235) </t>
  </si>
  <si>
    <t xml:space="preserve">Energy intensity in HTGR reactors (MWh/g of U-235) </t>
  </si>
  <si>
    <t xml:space="preserve">Electricity Transmission and Distribution Loss </t>
  </si>
  <si>
    <t xml:space="preserve">Advanced Biomass Power Plant Efficiency </t>
  </si>
  <si>
    <t xml:space="preserve">Biomass Utility Boiler Efficiency </t>
  </si>
  <si>
    <t xml:space="preserve">Advanced Coal Power Plant Efficiency </t>
  </si>
  <si>
    <t xml:space="preserve">Coal Utility Boiler Efficiency </t>
  </si>
  <si>
    <t xml:space="preserve">NG Combined Cycle Turbine Efficiency </t>
  </si>
  <si>
    <t xml:space="preserve">NG Simple Cycle Turbine Efficiency </t>
  </si>
  <si>
    <t xml:space="preserve">NG Utility Boiler Efficiency </t>
  </si>
  <si>
    <t xml:space="preserve">Residual Oil Utility Boiler Efficiency </t>
  </si>
  <si>
    <t xml:space="preserve">Ethanol Production Energy Use:Wet Mill (Btu/gallon) </t>
  </si>
  <si>
    <t xml:space="preserve">Ethanol Production Energy Use:Dry Mill (Btu/gallon) </t>
  </si>
  <si>
    <t xml:space="preserve">Corn Farming Energy Use (Btu/bushel) </t>
  </si>
  <si>
    <t xml:space="preserve">CO2 Emissions from Foreign Land Use Change by Corn Farming (g/bushel) </t>
  </si>
  <si>
    <t xml:space="preserve">CO2 Emissions from Domestic Land Use Change by Corn Farming (g/bushel) </t>
  </si>
  <si>
    <t xml:space="preserve">NG Compression Efficiency: Electric Compressors </t>
  </si>
  <si>
    <t xml:space="preserve">NG Compression Efficiency: NG Compressors </t>
  </si>
  <si>
    <t xml:space="preserve">CNG Assumptions </t>
  </si>
  <si>
    <t xml:space="preserve">NNA NG Processing Efficiency </t>
  </si>
  <si>
    <t xml:space="preserve">NNA NG Recovery Efficiency </t>
  </si>
  <si>
    <t xml:space="preserve">NA NG Processing Efficiency </t>
  </si>
  <si>
    <t xml:space="preserve">NA Shale Gas Recovery Efficiency </t>
  </si>
  <si>
    <t xml:space="preserve">NA NG Recovery Efficiency </t>
  </si>
  <si>
    <t xml:space="preserve">Share of Shale Gas in Natural Gas Supply </t>
  </si>
  <si>
    <t xml:space="preserve">LSD Refining Efficiency </t>
  </si>
  <si>
    <t xml:space="preserve">RFG Refining Efficiency </t>
  </si>
  <si>
    <t xml:space="preserve">CG Refining Efficiency </t>
  </si>
  <si>
    <t xml:space="preserve">In Situ Production: Bitumen Upgrading Efficiency </t>
  </si>
  <si>
    <t xml:space="preserve">In Situ Production: Bitumen Recovery Efficiency </t>
  </si>
  <si>
    <t xml:space="preserve">Surface Mining: Bitumen Upgrading Efficiency </t>
  </si>
  <si>
    <t xml:space="preserve">Surface Mining: Bitumen Recovery Efficiency </t>
  </si>
  <si>
    <t xml:space="preserve">Crude Recovery Efficiency </t>
  </si>
  <si>
    <t xml:space="preserve">Share of Surface Mining in Oil Sands Recovery Methods </t>
  </si>
  <si>
    <t xml:space="preserve">Share of Oil Sands Products in Crude Oil Feed </t>
  </si>
  <si>
    <t>Electric Charger Efficiency (%)</t>
  </si>
  <si>
    <t xml:space="preserve">Share of VMT for CS Mode (%) </t>
  </si>
  <si>
    <t xml:space="preserve">Share of VMT for CD Mode (%) </t>
  </si>
  <si>
    <t xml:space="preserve">Operational All Electric Range (mile) </t>
  </si>
  <si>
    <t xml:space="preserve">MPG Change in CS Mode relative to GVs (%) </t>
  </si>
  <si>
    <t xml:space="preserve">Electricity Consumption in CD Mode (Wh/mile) </t>
  </si>
  <si>
    <t xml:space="preserve">Fuel Consumption in CD Mode (Btu_fuel/mile) </t>
  </si>
  <si>
    <t xml:space="preserve">PHEV SI: CG and RFG </t>
  </si>
  <si>
    <t>Simulation Options for GC HEVs</t>
  </si>
  <si>
    <t>GREET Default: PHEV 10</t>
  </si>
  <si>
    <t>PHEV Option</t>
  </si>
  <si>
    <t>Share of Alternative Fuel Vehicles in 2009</t>
  </si>
  <si>
    <r>
      <t xml:space="preserve">Source: </t>
    </r>
    <r>
      <rPr>
        <sz val="8"/>
        <color indexed="8"/>
        <rFont val="Arial"/>
        <family val="2"/>
      </rPr>
      <t>U.S. Energy Information Administration, Form EIA-886 "Annual Survey of Alternative Fueled Vehicles."</t>
    </r>
  </si>
  <si>
    <t>Heavy Duty includes vehicles 26,001 and over GVWR.</t>
  </si>
  <si>
    <t>Medium Duty includes vehicles 8,501 to 26,000 GVWR.</t>
  </si>
  <si>
    <t>Light Duty includes vehicles less than or equal to 8,500 GVWR, including neighborhood electric vehicles and motorcycles.</t>
  </si>
  <si>
    <t>Nondedicated vehicles and hybrid vehicles are configured to operate on more than one fuel.</t>
  </si>
  <si>
    <r>
      <t>Notes:</t>
    </r>
    <r>
      <rPr>
        <sz val="8"/>
        <color indexed="8"/>
        <rFont val="Arial"/>
        <family val="2"/>
      </rPr>
      <t xml:space="preserve"> Dedicated vehicles are designed to operate exclusively on one alternative fuel.</t>
    </r>
  </si>
  <si>
    <r>
      <t>5</t>
    </r>
    <r>
      <rPr>
        <sz val="8"/>
        <color indexed="8"/>
        <rFont val="Arial"/>
        <family val="2"/>
      </rPr>
      <t>Gasoline-electric hybrids are not grouped under the Electric fuel category because the input fuel is gasoline rather than an alternative transportation fuel. DOE, which has EPACT92 implementation authority, ruled that gasoline-electric hybrids are not "alternative fuel vehicles."</t>
    </r>
  </si>
  <si>
    <r>
      <t>4</t>
    </r>
    <r>
      <rPr>
        <sz val="8"/>
        <color indexed="8"/>
        <rFont val="Arial"/>
        <family val="2"/>
      </rPr>
      <t>Diesel-electric hybrids are not grouped under the Electric fuel category because the input fuel is diesel rather than an alternative transportation fuel. DOE, which has Energy Policy Act of 1992 (EPACT92) implementation authority, ruled that diesel-electric hybrids are not "alternative fuel vehicles."</t>
    </r>
  </si>
  <si>
    <r>
      <t>3</t>
    </r>
    <r>
      <rPr>
        <sz val="8"/>
        <color indexed="8"/>
        <rFont val="Arial"/>
        <family val="2"/>
      </rPr>
      <t>Hydrogen fuel cells are considered dedicated hydrogen because hydrogen is the input fuel.</t>
    </r>
  </si>
  <si>
    <r>
      <t>2</t>
    </r>
    <r>
      <rPr>
        <sz val="8"/>
        <color indexed="8"/>
        <rFont val="Arial"/>
        <family val="2"/>
      </rPr>
      <t>Ethanol vehicles are flexible-fueled and are considered nondedicated; the remaining portion of 85-percent ethanol is gasoline.</t>
    </r>
  </si>
  <si>
    <r>
      <t>1</t>
    </r>
    <r>
      <rPr>
        <sz val="8"/>
        <color indexed="8"/>
        <rFont val="Arial"/>
        <family val="2"/>
      </rPr>
      <t>Electric vehicles are battery powered and are considered dedicated.</t>
    </r>
  </si>
  <si>
    <t>Nondedicated and Hybrid</t>
  </si>
  <si>
    <t>Dedicated and Nonhybrid</t>
  </si>
  <si>
    <t>Total Vehicles</t>
  </si>
  <si>
    <r>
      <t>Gasoline-Electric Hybrid (GAS)</t>
    </r>
    <r>
      <rPr>
        <b/>
        <vertAlign val="superscript"/>
        <sz val="8"/>
        <color indexed="8"/>
        <rFont val="Arial"/>
        <family val="2"/>
      </rPr>
      <t>5</t>
    </r>
  </si>
  <si>
    <r>
      <t>Diesel-Electric Hybrid (DSL)</t>
    </r>
    <r>
      <rPr>
        <b/>
        <vertAlign val="superscript"/>
        <sz val="8"/>
        <color indexed="8"/>
        <rFont val="Arial"/>
        <family val="2"/>
      </rPr>
      <t>4</t>
    </r>
  </si>
  <si>
    <t>Nondedicated</t>
  </si>
  <si>
    <t>Dedicated</t>
  </si>
  <si>
    <t>Liquefied Petroleum Gas (LPG)</t>
  </si>
  <si>
    <t>Liquefied Natural Gas (LNG)</t>
  </si>
  <si>
    <r>
      <t>Hydrogen (HYD)</t>
    </r>
    <r>
      <rPr>
        <b/>
        <vertAlign val="superscript"/>
        <sz val="8"/>
        <color indexed="8"/>
        <rFont val="Arial"/>
        <family val="2"/>
      </rPr>
      <t>3</t>
    </r>
  </si>
  <si>
    <r>
      <t>Ethanol, 85 Percent (E85)</t>
    </r>
    <r>
      <rPr>
        <b/>
        <vertAlign val="superscript"/>
        <sz val="8"/>
        <color indexed="8"/>
        <rFont val="Arial"/>
        <family val="2"/>
      </rPr>
      <t>2</t>
    </r>
  </si>
  <si>
    <r>
      <t>Electricity (EVC)</t>
    </r>
    <r>
      <rPr>
        <b/>
        <vertAlign val="superscript"/>
        <sz val="8"/>
        <color indexed="8"/>
        <rFont val="Arial"/>
        <family val="2"/>
      </rPr>
      <t>1</t>
    </r>
  </si>
  <si>
    <t>Compressed Natural Gas (CNG)</t>
  </si>
  <si>
    <t>Heavy Duty</t>
  </si>
  <si>
    <t>Medium Duty</t>
  </si>
  <si>
    <t>Light Duty</t>
  </si>
  <si>
    <t>Fuel Type</t>
  </si>
  <si>
    <t>Table S1. Summary of Onroad Alternative Fueled and Hybrid Vehicles Made Available, by Fuel Type, Configuration, and Weight Class, 2009</t>
  </si>
  <si>
    <t>Next Release Date: April 2012</t>
  </si>
  <si>
    <t>Release Date: April 2011</t>
  </si>
  <si>
    <t>Alternatives to Traditional Transportation Fuels, 2009</t>
  </si>
  <si>
    <t>n.a.</t>
  </si>
  <si>
    <t>Electricity Prices ($2010$/kwH)</t>
  </si>
  <si>
    <t>Natural gas prices ($2010/GGE)</t>
  </si>
  <si>
    <t>Hydrogen prices ($2010/GGE)</t>
  </si>
  <si>
    <t>Price ($2010/gallon)</t>
  </si>
  <si>
    <t>Table of Contents</t>
  </si>
  <si>
    <t>THE HAMILTON PROJECT - SOCIAL COSTS OF TRANSPORTATION USE  SPREADSHEET</t>
  </si>
  <si>
    <t>Michelak et al.'s original spreadsheet is available here.</t>
  </si>
  <si>
    <t>The analysis follows a similar analysis for CVs and EVs by Michelak et al (2011) and NAS (2010)</t>
  </si>
  <si>
    <t>Source: fueleconomy.gov data</t>
  </si>
  <si>
    <t>Range (miles)</t>
  </si>
  <si>
    <t>Range without refueling, 2012 Model Years</t>
  </si>
  <si>
    <t>http://www.fueleconomy.gov/feg/pdfs/guides/FEG2012.pdf</t>
  </si>
  <si>
    <t>http://www.fueleconomy.gov/feg/download.shtml</t>
  </si>
  <si>
    <t>Civic hybrid</t>
  </si>
  <si>
    <t>civic regular</t>
  </si>
  <si>
    <t>1- Table 1</t>
  </si>
  <si>
    <t>2- Summarizes key assumptions</t>
  </si>
  <si>
    <t>3- Market share of alternative energy vehicles</t>
  </si>
  <si>
    <t>4- Range of alternative energy vehicles</t>
  </si>
  <si>
    <t>5- Auto prices</t>
  </si>
  <si>
    <t>Pike research</t>
  </si>
  <si>
    <t>FFV (E85)</t>
  </si>
  <si>
    <t>Vehicle Base Purchase Price, Mid-Size Vehicles</t>
  </si>
  <si>
    <t>See Michalek et al. spreadsheet</t>
  </si>
  <si>
    <t>&lt;- see assumptions for NiMH batteries in Michalek et al</t>
  </si>
  <si>
    <t>Just for reference, not used:</t>
  </si>
  <si>
    <t>Follows Michalek et al.</t>
  </si>
  <si>
    <t>&lt;-incorporates assumptions about share that is reformulated gasoline and share of oil that is from tar sands</t>
  </si>
  <si>
    <t>Car Assembly Emissions (mt/per vehicle)</t>
  </si>
  <si>
    <t xml:space="preserve">CV/HEV/CNG/BEV Direct Emissions </t>
  </si>
  <si>
    <t>CV Upstream Emissions</t>
  </si>
  <si>
    <t>HEV/BEV Upstream Emissions</t>
  </si>
  <si>
    <t xml:space="preserve">Source: GREET 2.7, quoted in Michalek et al. (2011) </t>
  </si>
  <si>
    <t xml:space="preserve">Battery Production Emissions (mt/per vehicle) </t>
  </si>
  <si>
    <t>CV Lead Acid Direct Emissions</t>
  </si>
  <si>
    <t>HEV NiMH Direct Emissions from Assembly</t>
  </si>
  <si>
    <t>BEV Li-ion Direct Emissions from Assembly</t>
  </si>
  <si>
    <t>CV Lead Acid Upstream Emissions</t>
  </si>
  <si>
    <t>HEV NiMH Upstream Emissions</t>
  </si>
  <si>
    <t>BEV Li-ion Upstream Emissions</t>
  </si>
  <si>
    <t>Electricity Production, based on Current U.S. Average Energy Mix</t>
  </si>
  <si>
    <t xml:space="preserve">Source: GREET 2.7 </t>
  </si>
  <si>
    <t>&lt;-Follows NAS (2010) assumes vehicle production emissions the same for these three vehicle types</t>
  </si>
  <si>
    <t>mtons</t>
  </si>
  <si>
    <t>Summary</t>
  </si>
  <si>
    <t>FCV: Conventional Material Assembly</t>
  </si>
  <si>
    <t>mt/mile</t>
  </si>
  <si>
    <t>Private costs</t>
  </si>
  <si>
    <t>11a- Conventional vehicles (CVs) operation emissions</t>
  </si>
  <si>
    <t>Source: NAS (2010), see sheets "13a. NAS-output-VMT" and "13b. Energy-emission-factors"</t>
  </si>
  <si>
    <t>Noncarbon External ($/gal)</t>
  </si>
  <si>
    <t>Non-carbon</t>
  </si>
  <si>
    <t>Total Non-carbon</t>
  </si>
  <si>
    <t>GHGs/CO2e 2010$/ton</t>
  </si>
  <si>
    <t>GHG Emissions Feedstock (g/VMT)</t>
  </si>
  <si>
    <t>GHG Emissions Fuel Production (g/VMT)</t>
  </si>
  <si>
    <t xml:space="preserve">Feedstock and Fuel Production Valuation of Damages </t>
  </si>
  <si>
    <t>DOE (2011)</t>
  </si>
  <si>
    <t>6- Calculation of Fuel NPV</t>
  </si>
  <si>
    <t>7- External costs summary</t>
  </si>
  <si>
    <t>8- Calculation of external costs for feedstock and fuel production</t>
  </si>
  <si>
    <t>9- Calculation of external costs - vehicle assembly</t>
  </si>
  <si>
    <t>10b- Ethanol (E85) vehicles operation operation emissions</t>
  </si>
  <si>
    <t>10c- Hybrid Electric Vehicles (HEVs) operation emissions</t>
  </si>
  <si>
    <t>10d- CNG vehicles (CNGVs) operation operation emissions</t>
  </si>
  <si>
    <t>10e- Hydrogen Fuel Cell Vehicles (HFCVs) operation emissions</t>
  </si>
  <si>
    <t>10f- Battery Electric Vehicles (BEVs) operation emissions</t>
  </si>
  <si>
    <t>11- Oil externalities</t>
  </si>
  <si>
    <t>12a- NAS external costs summary</t>
  </si>
  <si>
    <t>12b- NAS emissions summary</t>
  </si>
  <si>
    <t>13+- GREET ASSUMPTIONS</t>
  </si>
  <si>
    <t>Retail ($2012)</t>
  </si>
  <si>
    <t xml:space="preserve">Source: Michalek et al. (2011) </t>
  </si>
  <si>
    <r>
      <t>Gallon/</t>
    </r>
    <r>
      <rPr>
        <sz val="11"/>
        <color rgb="FFFF0000"/>
        <rFont val="Calibri"/>
        <family val="2"/>
        <scheme val="minor"/>
      </rPr>
      <t>GGE</t>
    </r>
  </si>
  <si>
    <t>Vehicle Assembly</t>
  </si>
  <si>
    <t>This spreadsheet was created by The Hamilton Project for "Energy Policy Opportunities and Continuing Challenges in the Presence of Increased Supplies of Natural Gas and Petroleum," by Michael Greenstone and Adam Looney (June 2012).</t>
  </si>
</sst>
</file>

<file path=xl/styles.xml><?xml version="1.0" encoding="utf-8"?>
<styleSheet xmlns="http://schemas.openxmlformats.org/spreadsheetml/2006/main">
  <numFmts count="21">
    <numFmt numFmtId="6" formatCode="&quot;$&quot;#,##0_);[Red]\(&quot;$&quot;#,##0\)"/>
    <numFmt numFmtId="8" formatCode="&quot;$&quot;#,##0.00_);[Red]\(&quot;$&quot;#,##0.00\)"/>
    <numFmt numFmtId="43" formatCode="_(* #,##0.00_);_(* \(#,##0.00\);_(* &quot;-&quot;??_);_(@_)"/>
    <numFmt numFmtId="164" formatCode="_(* #,##0_);_(* \(#,##0\);_(* &quot;-&quot;??_);_(@_)"/>
    <numFmt numFmtId="165" formatCode="#,##0.000"/>
    <numFmt numFmtId="166" formatCode="0.000"/>
    <numFmt numFmtId="167" formatCode="0.0000000000000"/>
    <numFmt numFmtId="168" formatCode="0.0%"/>
    <numFmt numFmtId="169" formatCode="#,##0.000_);\(#,##0.000\)"/>
    <numFmt numFmtId="170" formatCode="_(* #,##0.000_);_(* \(#,##0.000\);_(* &quot;-&quot;??_);_(@_)"/>
    <numFmt numFmtId="171" formatCode="0.0"/>
    <numFmt numFmtId="172" formatCode="0.00000000000"/>
    <numFmt numFmtId="173" formatCode="0.0000"/>
    <numFmt numFmtId="174" formatCode="_(* #,##0.0000_);_(* \(#,##0.0000\);_(* &quot;-&quot;??_);_(@_)"/>
    <numFmt numFmtId="175" formatCode="_(* #,##0.00000_);_(* \(#,##0.00000\);_(* &quot;-&quot;??_);_(@_)"/>
    <numFmt numFmtId="176" formatCode="#,##0.0000"/>
    <numFmt numFmtId="177" formatCode="0_)"/>
    <numFmt numFmtId="178" formatCode="#0.0"/>
    <numFmt numFmtId="179" formatCode="#0.000"/>
    <numFmt numFmtId="180" formatCode="0.0000000000"/>
    <numFmt numFmtId="181" formatCode="0_);\(0\)"/>
  </numFmts>
  <fonts count="66">
    <font>
      <sz val="11"/>
      <color theme="1"/>
      <name val="Calibri"/>
      <family val="2"/>
      <scheme val="minor"/>
    </font>
    <font>
      <sz val="11"/>
      <color theme="1"/>
      <name val="Calibri"/>
      <family val="2"/>
      <scheme val="minor"/>
    </font>
    <font>
      <b/>
      <sz val="11"/>
      <color theme="1"/>
      <name val="Calibri"/>
      <family val="2"/>
      <scheme val="minor"/>
    </font>
    <font>
      <b/>
      <sz val="8"/>
      <name val="Arial"/>
      <family val="2"/>
    </font>
    <font>
      <sz val="8"/>
      <name val="Arial"/>
      <family val="2"/>
    </font>
    <font>
      <b/>
      <i/>
      <sz val="11"/>
      <color theme="1"/>
      <name val="Calibri"/>
      <family val="2"/>
      <scheme val="minor"/>
    </font>
    <font>
      <sz val="10"/>
      <name val="Arial"/>
      <family val="2"/>
    </font>
    <font>
      <b/>
      <sz val="12"/>
      <name val="Arial"/>
      <family val="2"/>
    </font>
    <font>
      <u/>
      <sz val="11"/>
      <color theme="10"/>
      <name val="Calibri"/>
      <family val="2"/>
      <scheme val="minor"/>
    </font>
    <font>
      <u/>
      <sz val="11"/>
      <color theme="11"/>
      <name val="Calibri"/>
      <family val="2"/>
      <scheme val="minor"/>
    </font>
    <font>
      <b/>
      <sz val="10"/>
      <name val="Arial"/>
      <family val="2"/>
    </font>
    <font>
      <b/>
      <sz val="8"/>
      <color indexed="8"/>
      <name val="Arial"/>
      <family val="2"/>
    </font>
    <font>
      <b/>
      <sz val="10"/>
      <color indexed="12"/>
      <name val="Arial"/>
      <family val="2"/>
    </font>
    <font>
      <u/>
      <sz val="11"/>
      <color theme="10"/>
      <name val="Calibri"/>
      <family val="2"/>
    </font>
    <font>
      <sz val="11"/>
      <color indexed="8"/>
      <name val="Calibri"/>
      <family val="2"/>
    </font>
    <font>
      <sz val="11"/>
      <color theme="1"/>
      <name val="Calibri"/>
      <family val="2"/>
    </font>
    <font>
      <b/>
      <sz val="11"/>
      <color theme="1"/>
      <name val="Calibri"/>
      <family val="2"/>
    </font>
    <font>
      <sz val="11"/>
      <name val="Calibri"/>
      <family val="2"/>
      <scheme val="minor"/>
    </font>
    <font>
      <b/>
      <sz val="11"/>
      <color indexed="9"/>
      <name val="Calibri"/>
      <family val="2"/>
    </font>
    <font>
      <sz val="9"/>
      <color indexed="9"/>
      <name val="Calibri"/>
      <family val="2"/>
    </font>
    <font>
      <sz val="11"/>
      <color indexed="9"/>
      <name val="Calibri"/>
      <family val="2"/>
    </font>
    <font>
      <sz val="9"/>
      <color indexed="8"/>
      <name val="Calibri"/>
      <family val="2"/>
    </font>
    <font>
      <b/>
      <sz val="9"/>
      <color indexed="60"/>
      <name val="Calibri"/>
      <family val="2"/>
    </font>
    <font>
      <b/>
      <sz val="9"/>
      <color indexed="10"/>
      <name val="Calibri"/>
      <family val="2"/>
    </font>
    <font>
      <b/>
      <sz val="9"/>
      <color indexed="8"/>
      <name val="Calibri"/>
      <family val="2"/>
    </font>
    <font>
      <b/>
      <sz val="9"/>
      <name val="Calibri"/>
      <family val="2"/>
    </font>
    <font>
      <sz val="9"/>
      <name val="Calibri"/>
      <family val="2"/>
    </font>
    <font>
      <sz val="9"/>
      <color indexed="10"/>
      <name val="Calibri"/>
      <family val="2"/>
    </font>
    <font>
      <b/>
      <sz val="11"/>
      <color indexed="23"/>
      <name val="Calibri"/>
      <family val="2"/>
    </font>
    <font>
      <sz val="9"/>
      <color indexed="23"/>
      <name val="Calibri"/>
      <family val="2"/>
    </font>
    <font>
      <sz val="10"/>
      <color indexed="8"/>
      <name val="Calibri"/>
      <family val="2"/>
    </font>
    <font>
      <sz val="10"/>
      <color indexed="23"/>
      <name val="Calibri"/>
      <family val="2"/>
    </font>
    <font>
      <sz val="9"/>
      <name val="Times New Roman"/>
      <family val="1"/>
    </font>
    <font>
      <sz val="11"/>
      <color indexed="20"/>
      <name val="Calibri"/>
      <family val="2"/>
    </font>
    <font>
      <b/>
      <sz val="9"/>
      <name val="Times New Roman"/>
      <family val="1"/>
    </font>
    <font>
      <b/>
      <sz val="11"/>
      <color indexed="52"/>
      <name val="Calibri"/>
      <family val="2"/>
    </font>
    <font>
      <sz val="10"/>
      <name val="Verdana"/>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b/>
      <sz val="12"/>
      <name val="Times New Roman"/>
      <family val="1"/>
    </font>
    <font>
      <sz val="11"/>
      <color indexed="62"/>
      <name val="Calibri"/>
      <family val="2"/>
    </font>
    <font>
      <sz val="11"/>
      <color indexed="52"/>
      <name val="Calibri"/>
      <family val="2"/>
    </font>
    <font>
      <sz val="11"/>
      <color indexed="60"/>
      <name val="Calibri"/>
      <family val="2"/>
    </font>
    <font>
      <sz val="8"/>
      <name val="Helvetica"/>
    </font>
    <font>
      <b/>
      <sz val="11"/>
      <color indexed="63"/>
      <name val="Calibri"/>
      <family val="2"/>
    </font>
    <font>
      <sz val="10"/>
      <name val="Helvetica"/>
      <family val="2"/>
    </font>
    <font>
      <b/>
      <sz val="18"/>
      <color indexed="56"/>
      <name val="Cambria"/>
      <family val="1"/>
    </font>
    <font>
      <b/>
      <sz val="11"/>
      <color indexed="8"/>
      <name val="Calibri"/>
      <family val="2"/>
    </font>
    <font>
      <sz val="11"/>
      <color indexed="10"/>
      <name val="Calibri"/>
      <family val="2"/>
    </font>
    <font>
      <b/>
      <sz val="8"/>
      <color indexed="12"/>
      <name val="Arial"/>
      <family val="2"/>
    </font>
    <font>
      <b/>
      <sz val="12"/>
      <color indexed="12"/>
      <name val="Arial"/>
      <family val="2"/>
    </font>
    <font>
      <b/>
      <sz val="8"/>
      <color theme="1"/>
      <name val="Arial"/>
      <family val="2"/>
    </font>
    <font>
      <sz val="8"/>
      <color indexed="8"/>
      <name val="Arial"/>
      <family val="2"/>
    </font>
    <font>
      <sz val="8"/>
      <color theme="1"/>
      <name val="Arial"/>
      <family val="2"/>
    </font>
    <font>
      <b/>
      <vertAlign val="superscript"/>
      <sz val="8"/>
      <color theme="1"/>
      <name val="Arial"/>
      <family val="2"/>
    </font>
    <font>
      <b/>
      <vertAlign val="superscript"/>
      <sz val="8"/>
      <color indexed="8"/>
      <name val="Arial"/>
      <family val="2"/>
    </font>
    <font>
      <sz val="9.9"/>
      <color theme="1"/>
      <name val="Verdana"/>
      <family val="2"/>
    </font>
    <font>
      <sz val="10"/>
      <color theme="1"/>
      <name val="Calibri"/>
      <family val="2"/>
      <scheme val="minor"/>
    </font>
    <font>
      <b/>
      <sz val="10"/>
      <color theme="1"/>
      <name val="Calibri"/>
      <family val="2"/>
      <scheme val="minor"/>
    </font>
    <font>
      <sz val="14"/>
      <name val="Arial"/>
      <family val="2"/>
    </font>
    <font>
      <sz val="10"/>
      <color theme="1"/>
      <name val="Arial"/>
      <family val="2"/>
    </font>
    <font>
      <b/>
      <sz val="11"/>
      <name val="Calibri"/>
      <family val="2"/>
      <scheme val="minor"/>
    </font>
    <font>
      <sz val="11"/>
      <color rgb="FFFF0000"/>
      <name val="Calibri"/>
      <family val="2"/>
      <scheme val="minor"/>
    </font>
  </fonts>
  <fills count="40">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rgb="FFFFFF00"/>
        <bgColor indexed="64"/>
      </patternFill>
    </fill>
    <fill>
      <patternFill patternType="solid">
        <fgColor indexed="56"/>
        <bgColor indexed="64"/>
      </patternFill>
    </fill>
    <fill>
      <patternFill patternType="solid">
        <fgColor indexed="31"/>
        <bgColor indexed="64"/>
      </patternFill>
    </fill>
    <fill>
      <patternFill patternType="solid">
        <fgColor indexed="55"/>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2"/>
        <bgColor indexed="64"/>
      </patternFill>
    </fill>
    <fill>
      <patternFill patternType="solid">
        <fgColor indexed="26"/>
      </patternFill>
    </fill>
    <fill>
      <patternFill patternType="darkTrellis"/>
    </fill>
    <fill>
      <patternFill patternType="solid">
        <fgColor indexed="9"/>
        <bgColor indexed="24"/>
      </patternFill>
    </fill>
    <fill>
      <patternFill patternType="solid">
        <fgColor indexed="42"/>
        <bgColor indexed="24"/>
      </patternFill>
    </fill>
    <fill>
      <patternFill patternType="solid">
        <fgColor indexed="27"/>
        <bgColor indexed="64"/>
      </patternFill>
    </fill>
    <fill>
      <patternFill patternType="solid">
        <fgColor indexed="45"/>
        <bgColor indexed="64"/>
      </patternFill>
    </fill>
    <fill>
      <patternFill patternType="solid">
        <fgColor indexed="9"/>
        <bgColor indexed="64"/>
      </patternFill>
    </fill>
    <fill>
      <patternFill patternType="solid">
        <fgColor theme="6"/>
        <bgColor indexed="64"/>
      </patternFill>
    </fill>
    <fill>
      <patternFill patternType="solid">
        <fgColor theme="5"/>
        <bgColor indexed="64"/>
      </patternFill>
    </fill>
  </fills>
  <borders count="73">
    <border>
      <left/>
      <right/>
      <top/>
      <bottom/>
      <diagonal/>
    </border>
    <border>
      <left/>
      <right/>
      <top/>
      <bottom style="medium">
        <color auto="1"/>
      </bottom>
      <diagonal/>
    </border>
    <border>
      <left style="medium">
        <color auto="1"/>
      </left>
      <right/>
      <top style="medium">
        <color auto="1"/>
      </top>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bottom/>
      <diagonal/>
    </border>
    <border>
      <left/>
      <right style="medium">
        <color auto="1"/>
      </right>
      <top/>
      <bottom/>
      <diagonal/>
    </border>
    <border>
      <left style="medium">
        <color auto="1"/>
      </left>
      <right style="medium">
        <color auto="1"/>
      </right>
      <top style="thin">
        <color auto="1"/>
      </top>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hair">
        <color auto="1"/>
      </left>
      <right style="hair">
        <color auto="1"/>
      </right>
      <top style="hair">
        <color auto="1"/>
      </top>
      <bottom style="hair">
        <color auto="1"/>
      </bottom>
      <diagonal/>
    </border>
    <border>
      <left style="medium">
        <color auto="1"/>
      </left>
      <right style="medium">
        <color auto="1"/>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medium">
        <color auto="1"/>
      </right>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medium">
        <color auto="1"/>
      </top>
      <bottom style="thin">
        <color auto="1"/>
      </bottom>
      <diagonal/>
    </border>
    <border>
      <left style="thin">
        <color auto="1"/>
      </left>
      <right/>
      <top/>
      <bottom style="medium">
        <color auto="1"/>
      </bottom>
      <diagonal/>
    </border>
    <border>
      <left/>
      <right/>
      <top/>
      <bottom style="double">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indexed="56"/>
      </top>
      <bottom/>
      <diagonal/>
    </border>
    <border>
      <left/>
      <right style="medium">
        <color indexed="56"/>
      </right>
      <top style="medium">
        <color indexed="56"/>
      </top>
      <bottom/>
      <diagonal/>
    </border>
    <border>
      <left/>
      <right style="medium">
        <color indexed="56"/>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medium">
        <color auto="1"/>
      </right>
      <top/>
      <bottom style="medium">
        <color indexed="23"/>
      </bottom>
      <diagonal/>
    </border>
    <border>
      <left/>
      <right/>
      <top/>
      <bottom style="medium">
        <color indexed="23"/>
      </bottom>
      <diagonal/>
    </border>
    <border>
      <left style="medium">
        <color auto="1"/>
      </left>
      <right style="medium">
        <color auto="1"/>
      </right>
      <top/>
      <bottom style="medium">
        <color indexed="23"/>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248">
    <xf numFmtId="0" fontId="0" fillId="0" borderId="0"/>
    <xf numFmtId="43" fontId="1" fillId="0" borderId="0" applyFont="0" applyFill="0" applyBorder="0" applyAlignment="0" applyProtection="0"/>
    <xf numFmtId="9" fontId="1" fillId="0" borderId="0" applyFont="0" applyFill="0" applyBorder="0" applyAlignment="0" applyProtection="0"/>
    <xf numFmtId="0" fontId="6" fillId="0" borderId="14"/>
    <xf numFmtId="0" fontId="6" fillId="0" borderId="14"/>
    <xf numFmtId="0" fontId="6" fillId="0" borderId="14"/>
    <xf numFmtId="0" fontId="6" fillId="0" borderId="14"/>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6" fillId="0" borderId="14"/>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13"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0" fontId="6" fillId="0" borderId="14"/>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6" fillId="0" borderId="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49" fontId="32" fillId="0" borderId="28" applyNumberFormat="0" applyFont="0" applyFill="0" applyBorder="0" applyProtection="0">
      <alignment horizontal="left" vertical="center"/>
    </xf>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2"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49" fontId="32" fillId="0" borderId="48" applyNumberFormat="0" applyFont="0" applyFill="0" applyBorder="0" applyProtection="0">
      <alignment horizontal="left" vertical="center"/>
    </xf>
    <xf numFmtId="0" fontId="20" fillId="19"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6" borderId="0" applyNumberFormat="0" applyBorder="0" applyAlignment="0" applyProtection="0"/>
    <xf numFmtId="0" fontId="33" fillId="10" borderId="0" applyNumberFormat="0" applyBorder="0" applyAlignment="0" applyProtection="0"/>
    <xf numFmtId="4" fontId="34" fillId="0" borderId="29" applyFill="0" applyBorder="0" applyProtection="0">
      <alignment horizontal="right" vertical="center"/>
    </xf>
    <xf numFmtId="0" fontId="35" fillId="27" borderId="49" applyNumberFormat="0" applyAlignment="0" applyProtection="0"/>
    <xf numFmtId="0" fontId="18" fillId="28" borderId="50" applyNumberFormat="0" applyAlignment="0" applyProtection="0"/>
    <xf numFmtId="43" fontId="6" fillId="0" borderId="0" applyFont="0" applyFill="0" applyBorder="0" applyAlignment="0" applyProtection="0"/>
    <xf numFmtId="43" fontId="14" fillId="0" borderId="0" applyFont="0" applyFill="0" applyBorder="0" applyAlignment="0" applyProtection="0"/>
    <xf numFmtId="43" fontId="36" fillId="0" borderId="0" applyFont="0" applyFill="0" applyBorder="0" applyAlignment="0" applyProtection="0"/>
    <xf numFmtId="43" fontId="14" fillId="0" borderId="0" applyFont="0" applyFill="0" applyBorder="0" applyAlignment="0" applyProtection="0"/>
    <xf numFmtId="0" fontId="37" fillId="0" borderId="0" applyNumberFormat="0" applyFill="0" applyBorder="0" applyAlignment="0" applyProtection="0"/>
    <xf numFmtId="0" fontId="38" fillId="11" borderId="0" applyNumberFormat="0" applyBorder="0" applyAlignment="0" applyProtection="0"/>
    <xf numFmtId="0" fontId="39" fillId="0" borderId="51" applyNumberFormat="0" applyFill="0" applyAlignment="0" applyProtection="0"/>
    <xf numFmtId="0" fontId="40" fillId="0" borderId="52" applyNumberFormat="0" applyFill="0" applyAlignment="0" applyProtection="0"/>
    <xf numFmtId="0" fontId="41" fillId="0" borderId="53" applyNumberFormat="0" applyFill="0" applyAlignment="0" applyProtection="0"/>
    <xf numFmtId="0" fontId="41" fillId="0" borderId="0" applyNumberFormat="0" applyFill="0" applyBorder="0" applyAlignment="0" applyProtection="0"/>
    <xf numFmtId="0" fontId="42" fillId="0" borderId="0" applyNumberFormat="0" applyFill="0" applyBorder="0" applyAlignment="0" applyProtection="0"/>
    <xf numFmtId="0" fontId="43" fillId="14" borderId="49" applyNumberFormat="0" applyAlignment="0" applyProtection="0"/>
    <xf numFmtId="0" fontId="44" fillId="0" borderId="54" applyNumberFormat="0" applyFill="0" applyAlignment="0" applyProtection="0"/>
    <xf numFmtId="0" fontId="45" fillId="29"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14" fillId="0" borderId="0"/>
    <xf numFmtId="0" fontId="36" fillId="0" borderId="0"/>
    <xf numFmtId="0" fontId="6" fillId="0" borderId="0"/>
    <xf numFmtId="0" fontId="6" fillId="0" borderId="0"/>
    <xf numFmtId="0" fontId="6" fillId="0" borderId="0"/>
    <xf numFmtId="0" fontId="6" fillId="0" borderId="0"/>
    <xf numFmtId="0" fontId="6" fillId="0" borderId="0"/>
    <xf numFmtId="4" fontId="32" fillId="0" borderId="28" applyFill="0" applyBorder="0" applyProtection="0">
      <alignment horizontal="right" vertical="center"/>
    </xf>
    <xf numFmtId="49" fontId="34" fillId="0" borderId="28" applyNumberFormat="0" applyFill="0" applyBorder="0" applyProtection="0">
      <alignment horizontal="left" vertical="center"/>
    </xf>
    <xf numFmtId="0" fontId="32" fillId="0" borderId="28" applyNumberFormat="0" applyFill="0" applyAlignment="0" applyProtection="0"/>
    <xf numFmtId="0" fontId="46" fillId="30" borderId="0" applyNumberFormat="0" applyFont="0" applyBorder="0" applyAlignment="0" applyProtection="0"/>
    <xf numFmtId="0" fontId="6" fillId="31" borderId="55" applyNumberFormat="0" applyFont="0" applyAlignment="0" applyProtection="0"/>
    <xf numFmtId="0" fontId="47" fillId="27" borderId="56" applyNumberFormat="0" applyAlignment="0" applyProtection="0"/>
    <xf numFmtId="176" fontId="32" fillId="32" borderId="28" applyNumberFormat="0" applyFont="0" applyBorder="0" applyAlignment="0" applyProtection="0">
      <alignment horizontal="right" vertical="center"/>
    </xf>
    <xf numFmtId="9" fontId="36" fillId="0" borderId="0" applyFont="0" applyFill="0" applyBorder="0" applyAlignment="0" applyProtection="0"/>
    <xf numFmtId="9" fontId="14" fillId="0" borderId="0" applyFont="0" applyFill="0" applyBorder="0" applyAlignment="0" applyProtection="0"/>
    <xf numFmtId="177" fontId="48" fillId="0" borderId="0"/>
    <xf numFmtId="11" fontId="48" fillId="0" borderId="0" applyFont="0" applyFill="0" applyBorder="0" applyAlignment="0" applyProtection="0"/>
    <xf numFmtId="0" fontId="49" fillId="0" borderId="0" applyNumberFormat="0" applyFill="0" applyBorder="0" applyAlignment="0" applyProtection="0"/>
    <xf numFmtId="0" fontId="50" fillId="0" borderId="57" applyNumberFormat="0" applyFill="0" applyAlignment="0" applyProtection="0"/>
    <xf numFmtId="0" fontId="51"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9" fontId="6" fillId="0" borderId="0" applyFont="0" applyFill="0" applyBorder="0" applyAlignment="0" applyProtection="0"/>
  </cellStyleXfs>
  <cellXfs count="578">
    <xf numFmtId="0" fontId="0" fillId="0" borderId="0" xfId="0"/>
    <xf numFmtId="10" fontId="0" fillId="0" borderId="0" xfId="2" applyNumberFormat="1" applyFont="1"/>
    <xf numFmtId="8" fontId="0" fillId="0" borderId="0" xfId="0" applyNumberFormat="1"/>
    <xf numFmtId="0" fontId="2" fillId="0" borderId="0" xfId="0" applyFont="1"/>
    <xf numFmtId="0" fontId="4" fillId="0" borderId="7" xfId="0" applyFont="1" applyFill="1" applyBorder="1"/>
    <xf numFmtId="0" fontId="4" fillId="0" borderId="11" xfId="0" applyFont="1" applyFill="1" applyBorder="1"/>
    <xf numFmtId="0" fontId="4" fillId="0" borderId="5" xfId="0" applyFont="1" applyFill="1" applyBorder="1"/>
    <xf numFmtId="0" fontId="4" fillId="0" borderId="12" xfId="0" applyFont="1" applyFill="1" applyBorder="1"/>
    <xf numFmtId="167" fontId="0" fillId="0" borderId="0" xfId="0" applyNumberFormat="1"/>
    <xf numFmtId="0" fontId="0" fillId="0" borderId="0" xfId="0" applyFont="1"/>
    <xf numFmtId="0" fontId="7" fillId="0" borderId="0" xfId="3" applyFont="1" applyBorder="1"/>
    <xf numFmtId="0" fontId="4" fillId="0" borderId="0" xfId="3" applyFont="1" applyBorder="1"/>
    <xf numFmtId="0" fontId="7" fillId="0" borderId="0" xfId="4" applyFont="1" applyBorder="1"/>
    <xf numFmtId="0" fontId="7" fillId="0" borderId="15" xfId="4" applyFont="1" applyBorder="1"/>
    <xf numFmtId="0" fontId="4" fillId="0" borderId="18" xfId="3" applyFont="1" applyBorder="1"/>
    <xf numFmtId="0" fontId="3" fillId="0" borderId="19" xfId="3" applyFont="1" applyBorder="1" applyAlignment="1">
      <alignment horizontal="right" wrapText="1"/>
    </xf>
    <xf numFmtId="0" fontId="3" fillId="0" borderId="20" xfId="3" applyFont="1" applyBorder="1" applyAlignment="1">
      <alignment horizontal="right" wrapText="1"/>
    </xf>
    <xf numFmtId="0" fontId="3" fillId="0" borderId="21" xfId="3" applyFont="1" applyBorder="1" applyAlignment="1">
      <alignment horizontal="right" wrapText="1"/>
    </xf>
    <xf numFmtId="0" fontId="4" fillId="0" borderId="11" xfId="3" applyFont="1" applyBorder="1"/>
    <xf numFmtId="166" fontId="4" fillId="0" borderId="5" xfId="3" applyNumberFormat="1" applyFont="1" applyBorder="1"/>
    <xf numFmtId="166" fontId="4" fillId="0" borderId="0" xfId="3" applyNumberFormat="1" applyFont="1" applyBorder="1"/>
    <xf numFmtId="166" fontId="4" fillId="0" borderId="6" xfId="3" applyNumberFormat="1" applyFont="1" applyBorder="1"/>
    <xf numFmtId="168" fontId="4" fillId="0" borderId="5" xfId="2" applyNumberFormat="1" applyFont="1" applyBorder="1"/>
    <xf numFmtId="168" fontId="4" fillId="0" borderId="0" xfId="2" applyNumberFormat="1" applyFont="1" applyBorder="1"/>
    <xf numFmtId="168" fontId="4" fillId="0" borderId="6" xfId="2" applyNumberFormat="1" applyFont="1" applyBorder="1"/>
    <xf numFmtId="0" fontId="4" fillId="0" borderId="7" xfId="3" applyFont="1" applyBorder="1"/>
    <xf numFmtId="164" fontId="4" fillId="0" borderId="8" xfId="1" applyNumberFormat="1" applyFont="1" applyBorder="1"/>
    <xf numFmtId="164" fontId="4" fillId="0" borderId="9" xfId="1" applyNumberFormat="1" applyFont="1" applyBorder="1"/>
    <xf numFmtId="164" fontId="4" fillId="0" borderId="10" xfId="1" applyNumberFormat="1" applyFont="1" applyBorder="1"/>
    <xf numFmtId="168" fontId="4" fillId="0" borderId="8" xfId="2" applyNumberFormat="1" applyFont="1" applyBorder="1"/>
    <xf numFmtId="168" fontId="4" fillId="0" borderId="9" xfId="2" applyNumberFormat="1" applyFont="1" applyBorder="1"/>
    <xf numFmtId="168" fontId="4" fillId="0" borderId="10" xfId="2" applyNumberFormat="1" applyFont="1" applyBorder="1"/>
    <xf numFmtId="0" fontId="4" fillId="0" borderId="11" xfId="3" applyFont="1" applyFill="1" applyBorder="1"/>
    <xf numFmtId="3" fontId="4" fillId="0" borderId="0" xfId="3" applyNumberFormat="1" applyFont="1" applyFill="1" applyBorder="1"/>
    <xf numFmtId="3" fontId="4" fillId="0" borderId="0" xfId="1" applyNumberFormat="1" applyFont="1" applyFill="1" applyBorder="1"/>
    <xf numFmtId="3" fontId="4" fillId="0" borderId="6" xfId="1" applyNumberFormat="1" applyFont="1" applyFill="1" applyBorder="1"/>
    <xf numFmtId="168" fontId="4" fillId="0" borderId="5" xfId="2" applyNumberFormat="1" applyFont="1" applyFill="1" applyBorder="1"/>
    <xf numFmtId="168" fontId="4" fillId="0" borderId="0" xfId="2" applyNumberFormat="1" applyFont="1" applyFill="1" applyBorder="1"/>
    <xf numFmtId="168" fontId="4" fillId="0" borderId="6" xfId="2" applyNumberFormat="1" applyFont="1" applyFill="1" applyBorder="1"/>
    <xf numFmtId="0" fontId="4" fillId="0" borderId="18" xfId="3" applyFont="1" applyFill="1" applyBorder="1"/>
    <xf numFmtId="164" fontId="4" fillId="0" borderId="22" xfId="1" applyNumberFormat="1" applyFont="1" applyFill="1" applyBorder="1"/>
    <xf numFmtId="164" fontId="4" fillId="0" borderId="23" xfId="1" applyNumberFormat="1" applyFont="1" applyFill="1" applyBorder="1"/>
    <xf numFmtId="168" fontId="4" fillId="0" borderId="22" xfId="2" applyNumberFormat="1" applyFont="1" applyFill="1" applyBorder="1"/>
    <xf numFmtId="168" fontId="4" fillId="0" borderId="23" xfId="2" applyNumberFormat="1" applyFont="1" applyFill="1" applyBorder="1"/>
    <xf numFmtId="168" fontId="4" fillId="0" borderId="24" xfId="2" applyNumberFormat="1" applyFont="1" applyFill="1" applyBorder="1"/>
    <xf numFmtId="166" fontId="4" fillId="0" borderId="8" xfId="3" applyNumberFormat="1" applyFont="1" applyBorder="1"/>
    <xf numFmtId="166" fontId="4" fillId="0" borderId="9" xfId="3" applyNumberFormat="1" applyFont="1" applyBorder="1"/>
    <xf numFmtId="166" fontId="4" fillId="0" borderId="10" xfId="3" applyNumberFormat="1" applyFont="1" applyBorder="1"/>
    <xf numFmtId="0" fontId="4" fillId="0" borderId="18" xfId="0" applyFont="1" applyFill="1" applyBorder="1"/>
    <xf numFmtId="166" fontId="4" fillId="0" borderId="22" xfId="3" applyNumberFormat="1" applyFont="1" applyBorder="1"/>
    <xf numFmtId="166" fontId="4" fillId="0" borderId="23" xfId="3" applyNumberFormat="1" applyFont="1" applyBorder="1"/>
    <xf numFmtId="166" fontId="4" fillId="0" borderId="24" xfId="3" applyNumberFormat="1" applyFont="1" applyBorder="1"/>
    <xf numFmtId="168" fontId="4" fillId="0" borderId="22" xfId="2" applyNumberFormat="1" applyFont="1" applyBorder="1"/>
    <xf numFmtId="168" fontId="4" fillId="0" borderId="23" xfId="2" applyNumberFormat="1" applyFont="1" applyBorder="1"/>
    <xf numFmtId="168" fontId="4" fillId="0" borderId="24" xfId="2" applyNumberFormat="1" applyFont="1" applyBorder="1"/>
    <xf numFmtId="0" fontId="4" fillId="0" borderId="25" xfId="0" applyFont="1" applyFill="1" applyBorder="1"/>
    <xf numFmtId="166" fontId="4" fillId="0" borderId="12" xfId="3" applyNumberFormat="1" applyFont="1" applyBorder="1"/>
    <xf numFmtId="166" fontId="4" fillId="0" borderId="1" xfId="3" applyNumberFormat="1" applyFont="1" applyBorder="1"/>
    <xf numFmtId="166" fontId="4" fillId="0" borderId="13" xfId="3" applyNumberFormat="1" applyFont="1" applyBorder="1"/>
    <xf numFmtId="168" fontId="4" fillId="0" borderId="12" xfId="2" applyNumberFormat="1" applyFont="1" applyBorder="1"/>
    <xf numFmtId="168" fontId="4" fillId="0" borderId="1" xfId="2" applyNumberFormat="1" applyFont="1" applyBorder="1"/>
    <xf numFmtId="168" fontId="4" fillId="0" borderId="13" xfId="2" applyNumberFormat="1" applyFont="1" applyBorder="1"/>
    <xf numFmtId="164" fontId="4" fillId="0" borderId="5" xfId="1" applyNumberFormat="1" applyFont="1" applyFill="1" applyBorder="1"/>
    <xf numFmtId="164" fontId="4" fillId="0" borderId="0" xfId="1" applyNumberFormat="1" applyFont="1" applyFill="1" applyBorder="1"/>
    <xf numFmtId="164" fontId="4" fillId="0" borderId="6" xfId="1" applyNumberFormat="1" applyFont="1" applyFill="1" applyBorder="1"/>
    <xf numFmtId="164" fontId="4" fillId="0" borderId="24" xfId="1" applyNumberFormat="1" applyFont="1" applyFill="1" applyBorder="1"/>
    <xf numFmtId="0" fontId="4" fillId="0" borderId="0" xfId="0" applyFont="1" applyFill="1" applyBorder="1"/>
    <xf numFmtId="0" fontId="4" fillId="0" borderId="2" xfId="5" applyFont="1" applyBorder="1"/>
    <xf numFmtId="0" fontId="3" fillId="0" borderId="16" xfId="5" applyFont="1" applyBorder="1" applyAlignment="1">
      <alignment horizontal="right" wrapText="1"/>
    </xf>
    <xf numFmtId="0" fontId="3" fillId="0" borderId="17" xfId="5" applyFont="1" applyBorder="1" applyAlignment="1">
      <alignment horizontal="right" wrapText="1"/>
    </xf>
    <xf numFmtId="0" fontId="4" fillId="0" borderId="19" xfId="5" applyFont="1" applyBorder="1"/>
    <xf numFmtId="164" fontId="4" fillId="0" borderId="20" xfId="5" applyNumberFormat="1" applyFont="1" applyFill="1" applyBorder="1"/>
    <xf numFmtId="164" fontId="4" fillId="0" borderId="21" xfId="5" applyNumberFormat="1" applyFont="1" applyFill="1" applyBorder="1"/>
    <xf numFmtId="0" fontId="4" fillId="0" borderId="5" xfId="3" applyFont="1" applyBorder="1"/>
    <xf numFmtId="37" fontId="4" fillId="0" borderId="0" xfId="3" applyNumberFormat="1" applyFont="1" applyFill="1" applyBorder="1"/>
    <xf numFmtId="37" fontId="4" fillId="0" borderId="6" xfId="3" applyNumberFormat="1" applyFont="1" applyFill="1" applyBorder="1"/>
    <xf numFmtId="0" fontId="4" fillId="0" borderId="5" xfId="3" applyFont="1" applyFill="1" applyBorder="1"/>
    <xf numFmtId="169" fontId="4" fillId="0" borderId="0" xfId="3" applyNumberFormat="1" applyFont="1" applyFill="1" applyBorder="1"/>
    <xf numFmtId="169" fontId="4" fillId="0" borderId="6" xfId="3" applyNumberFormat="1" applyFont="1" applyFill="1" applyBorder="1"/>
    <xf numFmtId="169" fontId="4" fillId="0" borderId="1" xfId="3" applyNumberFormat="1" applyFont="1" applyFill="1" applyBorder="1"/>
    <xf numFmtId="169" fontId="4" fillId="0" borderId="13" xfId="3" applyNumberFormat="1" applyFont="1" applyFill="1" applyBorder="1"/>
    <xf numFmtId="0" fontId="4" fillId="0" borderId="0" xfId="6" applyFont="1" applyBorder="1"/>
    <xf numFmtId="166" fontId="4" fillId="0" borderId="0" xfId="3" applyNumberFormat="1" applyFont="1" applyFill="1" applyBorder="1"/>
    <xf numFmtId="170" fontId="4" fillId="0" borderId="0" xfId="3" applyNumberFormat="1" applyFont="1" applyFill="1" applyBorder="1"/>
    <xf numFmtId="43" fontId="0" fillId="0" borderId="0" xfId="0" applyNumberFormat="1"/>
    <xf numFmtId="0" fontId="8" fillId="0" borderId="0" xfId="23"/>
    <xf numFmtId="0" fontId="12" fillId="0" borderId="0" xfId="29" applyNumberFormat="1" applyFont="1" applyFill="1" applyBorder="1" applyAlignment="1"/>
    <xf numFmtId="0" fontId="6" fillId="0" borderId="0" xfId="29" applyNumberFormat="1" applyFont="1" applyFill="1" applyBorder="1" applyAlignment="1"/>
    <xf numFmtId="0" fontId="10" fillId="2" borderId="30" xfId="29" applyNumberFormat="1" applyFont="1" applyFill="1" applyBorder="1" applyAlignment="1">
      <alignment horizontal="centerContinuous"/>
    </xf>
    <xf numFmtId="0" fontId="10" fillId="2" borderId="3" xfId="29" applyNumberFormat="1" applyFont="1" applyFill="1" applyBorder="1" applyAlignment="1">
      <alignment horizontal="centerContinuous"/>
    </xf>
    <xf numFmtId="0" fontId="10" fillId="2" borderId="4" xfId="29" applyNumberFormat="1" applyFont="1" applyFill="1" applyBorder="1" applyAlignment="1">
      <alignment horizontal="centerContinuous"/>
    </xf>
    <xf numFmtId="0" fontId="6" fillId="2" borderId="22" xfId="29" applyNumberFormat="1" applyFont="1" applyFill="1" applyBorder="1" applyAlignment="1"/>
    <xf numFmtId="0" fontId="10" fillId="2" borderId="26" xfId="29" applyNumberFormat="1" applyFont="1" applyFill="1" applyBorder="1" applyAlignment="1">
      <alignment horizontal="right" wrapText="1"/>
    </xf>
    <xf numFmtId="0" fontId="10" fillId="2" borderId="23" xfId="29" applyNumberFormat="1" applyFont="1" applyFill="1" applyBorder="1" applyAlignment="1">
      <alignment horizontal="right" wrapText="1"/>
    </xf>
    <xf numFmtId="0" fontId="10" fillId="2" borderId="24" xfId="29" applyNumberFormat="1" applyFont="1" applyFill="1" applyBorder="1" applyAlignment="1">
      <alignment horizontal="right" wrapText="1"/>
    </xf>
    <xf numFmtId="0" fontId="6" fillId="0" borderId="5" xfId="29" applyNumberFormat="1" applyFont="1" applyFill="1" applyBorder="1" applyAlignment="1"/>
    <xf numFmtId="3" fontId="6" fillId="0" borderId="27" xfId="29" applyNumberFormat="1" applyFont="1" applyFill="1" applyBorder="1" applyAlignment="1"/>
    <xf numFmtId="3" fontId="6" fillId="0" borderId="0" xfId="29" applyNumberFormat="1" applyFont="1" applyFill="1" applyBorder="1" applyAlignment="1"/>
    <xf numFmtId="0" fontId="6" fillId="3" borderId="5" xfId="29" applyNumberFormat="1" applyFont="1" applyFill="1" applyBorder="1" applyAlignment="1"/>
    <xf numFmtId="3" fontId="6" fillId="3" borderId="27" xfId="29" applyNumberFormat="1" applyFont="1" applyFill="1" applyBorder="1" applyAlignment="1"/>
    <xf numFmtId="3" fontId="6" fillId="3" borderId="0" xfId="29" applyNumberFormat="1" applyFont="1" applyFill="1" applyBorder="1" applyAlignment="1"/>
    <xf numFmtId="165" fontId="6" fillId="3" borderId="27" xfId="29" applyNumberFormat="1" applyFont="1" applyFill="1" applyBorder="1" applyAlignment="1"/>
    <xf numFmtId="165" fontId="6" fillId="3" borderId="0" xfId="29" applyNumberFormat="1" applyFont="1" applyFill="1" applyBorder="1" applyAlignment="1"/>
    <xf numFmtId="165" fontId="6" fillId="0" borderId="27" xfId="29" applyNumberFormat="1" applyFont="1" applyFill="1" applyBorder="1" applyAlignment="1"/>
    <xf numFmtId="165" fontId="6" fillId="0" borderId="0" xfId="29" applyNumberFormat="1" applyFont="1" applyFill="1" applyBorder="1" applyAlignment="1"/>
    <xf numFmtId="0" fontId="6" fillId="0" borderId="12" xfId="29" applyNumberFormat="1" applyFont="1" applyFill="1" applyBorder="1" applyAlignment="1"/>
    <xf numFmtId="165" fontId="6" fillId="0" borderId="31" xfId="29" applyNumberFormat="1" applyFont="1" applyFill="1" applyBorder="1" applyAlignment="1"/>
    <xf numFmtId="165" fontId="6" fillId="0" borderId="1" xfId="29" applyNumberFormat="1" applyFont="1" applyFill="1" applyBorder="1" applyAlignment="1"/>
    <xf numFmtId="165" fontId="6" fillId="0" borderId="13" xfId="29" applyNumberFormat="1" applyFont="1" applyFill="1" applyBorder="1" applyAlignment="1"/>
    <xf numFmtId="1" fontId="0" fillId="0" borderId="0" xfId="0" applyNumberFormat="1"/>
    <xf numFmtId="0" fontId="0" fillId="0" borderId="0" xfId="0" applyBorder="1"/>
    <xf numFmtId="171" fontId="0" fillId="0" borderId="0" xfId="0" applyNumberFormat="1" applyBorder="1"/>
    <xf numFmtId="164" fontId="0" fillId="0" borderId="0" xfId="0" applyNumberFormat="1"/>
    <xf numFmtId="0" fontId="0" fillId="0" borderId="5" xfId="0" applyBorder="1"/>
    <xf numFmtId="0" fontId="2" fillId="0" borderId="19" xfId="0" applyFont="1" applyBorder="1" applyAlignment="1"/>
    <xf numFmtId="0" fontId="2" fillId="0" borderId="20" xfId="0" applyFont="1" applyBorder="1" applyAlignment="1"/>
    <xf numFmtId="0" fontId="2" fillId="0" borderId="21" xfId="0" applyFont="1" applyBorder="1" applyAlignment="1"/>
    <xf numFmtId="0" fontId="2" fillId="0" borderId="0" xfId="0" applyFont="1" applyBorder="1" applyAlignment="1"/>
    <xf numFmtId="0" fontId="0" fillId="0" borderId="5" xfId="0" applyFont="1" applyBorder="1" applyAlignment="1"/>
    <xf numFmtId="0" fontId="0" fillId="0" borderId="12" xfId="0" applyBorder="1"/>
    <xf numFmtId="0" fontId="0" fillId="0" borderId="1" xfId="0" applyBorder="1"/>
    <xf numFmtId="0" fontId="0" fillId="0" borderId="13" xfId="0" applyBorder="1"/>
    <xf numFmtId="0" fontId="0" fillId="0" borderId="33" xfId="0" applyBorder="1"/>
    <xf numFmtId="0" fontId="0" fillId="0" borderId="34" xfId="0" applyBorder="1"/>
    <xf numFmtId="0" fontId="0" fillId="0" borderId="15" xfId="0" applyBorder="1"/>
    <xf numFmtId="0" fontId="0" fillId="0" borderId="25" xfId="0" applyBorder="1" applyAlignment="1">
      <alignment horizontal="center" vertical="center"/>
    </xf>
    <xf numFmtId="0" fontId="0" fillId="0" borderId="33" xfId="0" applyBorder="1" applyAlignment="1">
      <alignment horizontal="center" vertical="center" wrapText="1"/>
    </xf>
    <xf numFmtId="0" fontId="0" fillId="0" borderId="34" xfId="0" applyBorder="1" applyAlignment="1">
      <alignment horizontal="center" vertical="center" wrapText="1"/>
    </xf>
    <xf numFmtId="0" fontId="0" fillId="0" borderId="1" xfId="0"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xf>
    <xf numFmtId="0" fontId="0" fillId="0" borderId="0"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0" xfId="0" applyAlignment="1">
      <alignment horizontal="center" vertical="center"/>
    </xf>
    <xf numFmtId="1" fontId="0" fillId="0" borderId="0" xfId="0" applyNumberFormat="1" applyAlignment="1">
      <alignment horizontal="center" vertical="center"/>
    </xf>
    <xf numFmtId="0" fontId="15" fillId="0" borderId="0" xfId="0" applyFont="1" applyBorder="1" applyAlignment="1">
      <alignment horizontal="center"/>
    </xf>
    <xf numFmtId="0" fontId="16" fillId="0" borderId="0" xfId="0" applyFont="1" applyBorder="1" applyAlignment="1">
      <alignment horizontal="center" wrapText="1"/>
    </xf>
    <xf numFmtId="0" fontId="15" fillId="0" borderId="32" xfId="0" applyFont="1" applyBorder="1" applyAlignment="1">
      <alignment horizontal="center"/>
    </xf>
    <xf numFmtId="0" fontId="16" fillId="0" borderId="32" xfId="0" applyFont="1" applyBorder="1" applyAlignment="1">
      <alignment horizontal="center" wrapText="1"/>
    </xf>
    <xf numFmtId="0" fontId="15" fillId="0" borderId="0" xfId="0" applyFont="1" applyBorder="1" applyAlignment="1">
      <alignment horizontal="center" wrapText="1"/>
    </xf>
    <xf numFmtId="0" fontId="15" fillId="0" borderId="23" xfId="0" applyFont="1" applyBorder="1" applyAlignment="1">
      <alignment horizontal="center" wrapText="1"/>
    </xf>
    <xf numFmtId="0" fontId="15" fillId="0" borderId="9" xfId="0" applyFont="1" applyBorder="1" applyAlignment="1">
      <alignment horizontal="center"/>
    </xf>
    <xf numFmtId="166" fontId="15" fillId="0" borderId="9" xfId="0" applyNumberFormat="1" applyFont="1" applyBorder="1" applyAlignment="1">
      <alignment horizontal="center"/>
    </xf>
    <xf numFmtId="166" fontId="15" fillId="0" borderId="0" xfId="0" applyNumberFormat="1" applyFont="1" applyBorder="1" applyAlignment="1">
      <alignment horizontal="center"/>
    </xf>
    <xf numFmtId="0" fontId="15" fillId="0" borderId="23" xfId="0" applyFont="1" applyBorder="1" applyAlignment="1">
      <alignment horizontal="center"/>
    </xf>
    <xf numFmtId="166" fontId="15" fillId="0" borderId="23" xfId="0" applyNumberFormat="1" applyFont="1" applyBorder="1" applyAlignment="1">
      <alignment horizontal="center"/>
    </xf>
    <xf numFmtId="1" fontId="0" fillId="0" borderId="5" xfId="0" applyNumberFormat="1" applyBorder="1" applyAlignment="1">
      <alignment horizontal="center" vertical="center"/>
    </xf>
    <xf numFmtId="0" fontId="17" fillId="0" borderId="12"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0" xfId="0" applyFont="1" applyBorder="1" applyAlignment="1">
      <alignment horizontal="center" vertical="center"/>
    </xf>
    <xf numFmtId="0" fontId="17" fillId="0" borderId="1" xfId="0" applyFont="1" applyBorder="1" applyAlignment="1">
      <alignment horizontal="center" vertical="center"/>
    </xf>
    <xf numFmtId="3" fontId="17" fillId="0" borderId="5" xfId="1" applyNumberFormat="1" applyFont="1" applyBorder="1" applyAlignment="1">
      <alignment horizontal="center"/>
    </xf>
    <xf numFmtId="3" fontId="17" fillId="0" borderId="6" xfId="0" applyNumberFormat="1" applyFont="1" applyBorder="1" applyAlignment="1">
      <alignment horizontal="center" vertical="center"/>
    </xf>
    <xf numFmtId="0" fontId="18" fillId="5" borderId="0" xfId="0" applyFont="1" applyFill="1" applyAlignment="1">
      <alignment horizontal="left" vertical="center" indent="1"/>
    </xf>
    <xf numFmtId="0" fontId="19" fillId="5" borderId="0" xfId="0" applyFont="1" applyFill="1" applyAlignment="1">
      <alignment horizontal="center" vertical="center"/>
    </xf>
    <xf numFmtId="0" fontId="20" fillId="5" borderId="0" xfId="0" applyFont="1" applyFill="1" applyAlignment="1">
      <alignment horizontal="left" vertical="center" indent="1"/>
    </xf>
    <xf numFmtId="0" fontId="20" fillId="5" borderId="0" xfId="0" applyFont="1" applyFill="1" applyAlignment="1">
      <alignment horizontal="center" vertical="center"/>
    </xf>
    <xf numFmtId="0" fontId="19" fillId="5" borderId="0" xfId="0" applyFont="1" applyFill="1" applyAlignment="1">
      <alignment horizontal="left" vertical="center" indent="1"/>
    </xf>
    <xf numFmtId="0" fontId="21" fillId="0" borderId="0" xfId="0" applyFont="1" applyAlignment="1">
      <alignment horizontal="center" vertical="center"/>
    </xf>
    <xf numFmtId="0" fontId="21" fillId="0" borderId="0" xfId="0" applyFont="1" applyAlignment="1">
      <alignment horizontal="left" vertical="center" indent="1"/>
    </xf>
    <xf numFmtId="0" fontId="22" fillId="0" borderId="36" xfId="0" applyFont="1" applyBorder="1" applyAlignment="1">
      <alignment horizontal="center" vertical="center"/>
    </xf>
    <xf numFmtId="0" fontId="22" fillId="0" borderId="37" xfId="0" applyFont="1" applyBorder="1" applyAlignment="1">
      <alignment horizontal="center" vertical="center"/>
    </xf>
    <xf numFmtId="0" fontId="22" fillId="0" borderId="0" xfId="0" applyFont="1" applyAlignment="1">
      <alignment horizontal="center" vertical="center"/>
    </xf>
    <xf numFmtId="0" fontId="23" fillId="6" borderId="0" xfId="0" applyFont="1" applyFill="1" applyAlignment="1">
      <alignment horizontal="left" vertical="center" indent="1"/>
    </xf>
    <xf numFmtId="0" fontId="21" fillId="6" borderId="0" xfId="0" applyFont="1" applyFill="1" applyAlignment="1">
      <alignment horizontal="center" vertical="center"/>
    </xf>
    <xf numFmtId="0" fontId="21" fillId="6" borderId="0" xfId="0" applyFont="1" applyFill="1" applyAlignment="1">
      <alignment horizontal="left" vertical="center" indent="1"/>
    </xf>
    <xf numFmtId="0" fontId="21" fillId="6" borderId="38" xfId="0" applyFont="1" applyFill="1" applyBorder="1" applyAlignment="1">
      <alignment horizontal="center" vertical="center"/>
    </xf>
    <xf numFmtId="0" fontId="24" fillId="0" borderId="0" xfId="0" applyFont="1" applyAlignment="1">
      <alignment horizontal="left" vertical="center" indent="1"/>
    </xf>
    <xf numFmtId="0" fontId="24" fillId="0" borderId="0" xfId="0" applyFont="1" applyAlignment="1">
      <alignment horizontal="center" vertical="center"/>
    </xf>
    <xf numFmtId="0" fontId="24" fillId="0" borderId="38" xfId="0" applyFont="1" applyBorder="1" applyAlignment="1">
      <alignment horizontal="center" vertical="center"/>
    </xf>
    <xf numFmtId="0" fontId="21" fillId="0" borderId="38" xfId="0" applyFont="1" applyBorder="1" applyAlignment="1">
      <alignment horizontal="center" vertical="center"/>
    </xf>
    <xf numFmtId="0" fontId="21" fillId="0" borderId="0" xfId="0" applyFont="1" applyFill="1" applyAlignment="1">
      <alignment horizontal="left" vertical="center" indent="1"/>
    </xf>
    <xf numFmtId="0" fontId="21" fillId="0" borderId="0" xfId="0" applyFont="1" applyFill="1" applyAlignment="1">
      <alignment horizontal="center" vertical="center"/>
    </xf>
    <xf numFmtId="0" fontId="21" fillId="0" borderId="38" xfId="0" applyFont="1" applyFill="1" applyBorder="1" applyAlignment="1">
      <alignment horizontal="center" vertical="center"/>
    </xf>
    <xf numFmtId="2" fontId="21" fillId="0" borderId="0" xfId="0" applyNumberFormat="1" applyFont="1" applyAlignment="1">
      <alignment horizontal="left" vertical="center" indent="1"/>
    </xf>
    <xf numFmtId="0" fontId="25" fillId="0" borderId="0" xfId="0" applyFont="1" applyAlignment="1">
      <alignment horizontal="center" vertical="center"/>
    </xf>
    <xf numFmtId="0" fontId="23" fillId="0" borderId="0" xfId="0" applyFont="1" applyAlignment="1">
      <alignment horizontal="center" vertical="center"/>
    </xf>
    <xf numFmtId="0" fontId="26" fillId="0" borderId="0" xfId="0" applyFont="1" applyAlignment="1">
      <alignment horizontal="center" vertical="center"/>
    </xf>
    <xf numFmtId="0" fontId="27" fillId="0" borderId="0" xfId="0" applyFont="1" applyAlignment="1">
      <alignment horizontal="center" vertical="center"/>
    </xf>
    <xf numFmtId="0" fontId="26" fillId="6" borderId="0" xfId="0" applyFont="1" applyFill="1" applyAlignment="1">
      <alignment horizontal="center" vertical="center"/>
    </xf>
    <xf numFmtId="0" fontId="28" fillId="5" borderId="0" xfId="0" applyFont="1" applyFill="1" applyAlignment="1">
      <alignment horizontal="left" vertical="center" indent="1"/>
    </xf>
    <xf numFmtId="0" fontId="29" fillId="5" borderId="0" xfId="0" applyFont="1" applyFill="1" applyAlignment="1">
      <alignment horizontal="center" vertical="center"/>
    </xf>
    <xf numFmtId="0" fontId="30" fillId="0" borderId="0" xfId="0" applyFont="1"/>
    <xf numFmtId="0" fontId="31" fillId="0" borderId="0" xfId="0" applyFont="1"/>
    <xf numFmtId="0" fontId="30" fillId="0" borderId="0" xfId="0" applyFont="1" applyFill="1" applyAlignment="1">
      <alignment horizontal="center"/>
    </xf>
    <xf numFmtId="0" fontId="31" fillId="0" borderId="0" xfId="0" applyFont="1" applyAlignment="1">
      <alignment horizontal="center"/>
    </xf>
    <xf numFmtId="0" fontId="30" fillId="0" borderId="0" xfId="0" applyFont="1" applyFill="1" applyAlignment="1"/>
    <xf numFmtId="0" fontId="30" fillId="0" borderId="0" xfId="0" applyFont="1" applyAlignment="1">
      <alignment horizontal="left" indent="1"/>
    </xf>
    <xf numFmtId="0" fontId="30" fillId="0" borderId="0" xfId="0" applyFont="1" applyAlignment="1">
      <alignment horizontal="center"/>
    </xf>
    <xf numFmtId="0" fontId="30" fillId="0" borderId="0" xfId="0" applyFont="1" applyFill="1"/>
    <xf numFmtId="1" fontId="30" fillId="0" borderId="0" xfId="0" applyNumberFormat="1" applyFont="1" applyFill="1" applyAlignment="1">
      <alignment horizontal="center"/>
    </xf>
    <xf numFmtId="2" fontId="30" fillId="0" borderId="0" xfId="0" applyNumberFormat="1" applyFont="1" applyFill="1" applyAlignment="1">
      <alignment horizontal="center"/>
    </xf>
    <xf numFmtId="2" fontId="30" fillId="0" borderId="0" xfId="0" applyNumberFormat="1" applyFont="1" applyAlignment="1">
      <alignment horizontal="center"/>
    </xf>
    <xf numFmtId="0" fontId="31" fillId="0" borderId="0" xfId="0" applyFont="1" applyFill="1" applyAlignment="1">
      <alignment horizontal="center"/>
    </xf>
    <xf numFmtId="0" fontId="30" fillId="0" borderId="0" xfId="0" applyFont="1" applyFill="1" applyAlignment="1">
      <alignment horizontal="left" indent="1"/>
    </xf>
    <xf numFmtId="166" fontId="30" fillId="0" borderId="0" xfId="0" applyNumberFormat="1" applyFont="1" applyFill="1" applyAlignment="1">
      <alignment horizontal="center"/>
    </xf>
    <xf numFmtId="0" fontId="2" fillId="0" borderId="39" xfId="0" applyFont="1" applyBorder="1"/>
    <xf numFmtId="0" fontId="0" fillId="0" borderId="40" xfId="0" applyBorder="1"/>
    <xf numFmtId="0" fontId="0" fillId="0" borderId="41" xfId="0" applyBorder="1"/>
    <xf numFmtId="0" fontId="5" fillId="0" borderId="39" xfId="0" applyFont="1" applyBorder="1"/>
    <xf numFmtId="0" fontId="2" fillId="0" borderId="40" xfId="0" applyFont="1" applyBorder="1" applyAlignment="1"/>
    <xf numFmtId="0" fontId="2" fillId="0" borderId="41" xfId="0" applyFont="1" applyBorder="1" applyAlignment="1"/>
    <xf numFmtId="1" fontId="0" fillId="0" borderId="42" xfId="0" applyNumberFormat="1" applyBorder="1"/>
    <xf numFmtId="1" fontId="0" fillId="0" borderId="1" xfId="0" applyNumberFormat="1" applyBorder="1"/>
    <xf numFmtId="1" fontId="0" fillId="0" borderId="13" xfId="0" applyNumberFormat="1" applyBorder="1"/>
    <xf numFmtId="1" fontId="0" fillId="0" borderId="0" xfId="0" applyNumberFormat="1" applyBorder="1" applyAlignment="1">
      <alignment horizontal="center" vertical="center"/>
    </xf>
    <xf numFmtId="1" fontId="0" fillId="0" borderId="12" xfId="0" applyNumberFormat="1" applyBorder="1"/>
    <xf numFmtId="0" fontId="0" fillId="0" borderId="39" xfId="0" applyBorder="1"/>
    <xf numFmtId="171" fontId="2" fillId="0" borderId="40" xfId="0" applyNumberFormat="1" applyFont="1" applyBorder="1"/>
    <xf numFmtId="1" fontId="0" fillId="0" borderId="39" xfId="0" applyNumberFormat="1" applyBorder="1" applyAlignment="1">
      <alignment horizontal="center" vertical="center"/>
    </xf>
    <xf numFmtId="1" fontId="0" fillId="0" borderId="40" xfId="0" applyNumberFormat="1" applyBorder="1" applyAlignment="1">
      <alignment horizontal="center" vertical="center"/>
    </xf>
    <xf numFmtId="0" fontId="0" fillId="0" borderId="42" xfId="0" applyBorder="1" applyAlignment="1">
      <alignment horizontal="center" vertical="center"/>
    </xf>
    <xf numFmtId="1" fontId="0" fillId="0" borderId="12" xfId="0" applyNumberFormat="1" applyBorder="1" applyAlignment="1">
      <alignment horizontal="center" vertical="center"/>
    </xf>
    <xf numFmtId="1" fontId="0" fillId="0" borderId="1" xfId="0" applyNumberFormat="1" applyBorder="1" applyAlignment="1">
      <alignment horizontal="center" vertical="center"/>
    </xf>
    <xf numFmtId="1" fontId="0" fillId="0" borderId="42" xfId="0" applyNumberFormat="1" applyBorder="1" applyAlignment="1">
      <alignment horizontal="center" vertical="center"/>
    </xf>
    <xf numFmtId="3" fontId="0" fillId="0" borderId="0" xfId="0" applyNumberFormat="1"/>
    <xf numFmtId="164" fontId="0" fillId="0" borderId="5" xfId="1" applyNumberFormat="1" applyFont="1" applyBorder="1"/>
    <xf numFmtId="170" fontId="0" fillId="0" borderId="0" xfId="1" applyNumberFormat="1" applyFont="1"/>
    <xf numFmtId="174" fontId="0" fillId="0" borderId="0" xfId="1" applyNumberFormat="1" applyFont="1"/>
    <xf numFmtId="174" fontId="0" fillId="0" borderId="0" xfId="0" applyNumberFormat="1"/>
    <xf numFmtId="170" fontId="0" fillId="0" borderId="0" xfId="0" applyNumberFormat="1"/>
    <xf numFmtId="0" fontId="0" fillId="0" borderId="5" xfId="0" applyFont="1" applyBorder="1"/>
    <xf numFmtId="174" fontId="0" fillId="0" borderId="0" xfId="0" applyNumberFormat="1" applyBorder="1"/>
    <xf numFmtId="175" fontId="0" fillId="0" borderId="0" xfId="1" applyNumberFormat="1" applyFont="1" applyBorder="1"/>
    <xf numFmtId="174" fontId="0" fillId="0" borderId="43" xfId="0" applyNumberFormat="1" applyBorder="1"/>
    <xf numFmtId="173" fontId="0" fillId="0" borderId="43" xfId="0" applyNumberFormat="1" applyBorder="1"/>
    <xf numFmtId="0" fontId="0" fillId="0" borderId="43" xfId="0" applyBorder="1"/>
    <xf numFmtId="0" fontId="0" fillId="0" borderId="12" xfId="0" applyFont="1" applyBorder="1"/>
    <xf numFmtId="174" fontId="0" fillId="0" borderId="1" xfId="0" applyNumberFormat="1" applyBorder="1"/>
    <xf numFmtId="174" fontId="0" fillId="0" borderId="1" xfId="1" applyNumberFormat="1" applyFont="1" applyBorder="1"/>
    <xf numFmtId="0" fontId="0" fillId="0" borderId="44" xfId="0" applyBorder="1"/>
    <xf numFmtId="0" fontId="2" fillId="0" borderId="45" xfId="0" applyFont="1" applyBorder="1" applyAlignment="1">
      <alignment wrapText="1"/>
    </xf>
    <xf numFmtId="0" fontId="0" fillId="0" borderId="45" xfId="0" applyBorder="1"/>
    <xf numFmtId="0" fontId="2" fillId="0" borderId="46" xfId="0" applyFont="1" applyBorder="1" applyAlignment="1">
      <alignment wrapText="1"/>
    </xf>
    <xf numFmtId="0" fontId="0" fillId="0" borderId="41" xfId="0" applyBorder="1" applyAlignment="1">
      <alignment horizontal="center" vertical="center"/>
    </xf>
    <xf numFmtId="164" fontId="0" fillId="4" borderId="41" xfId="1" applyNumberFormat="1" applyFont="1" applyFill="1" applyBorder="1"/>
    <xf numFmtId="164" fontId="0" fillId="0" borderId="43" xfId="1" applyNumberFormat="1" applyFont="1" applyBorder="1"/>
    <xf numFmtId="10" fontId="0" fillId="4" borderId="43" xfId="2" applyNumberFormat="1" applyFont="1" applyFill="1" applyBorder="1"/>
    <xf numFmtId="0" fontId="2" fillId="0" borderId="5" xfId="0" applyFont="1" applyBorder="1"/>
    <xf numFmtId="8" fontId="0" fillId="0" borderId="43" xfId="0" applyNumberFormat="1" applyFill="1" applyBorder="1"/>
    <xf numFmtId="8" fontId="0" fillId="0" borderId="43" xfId="0" applyNumberFormat="1" applyBorder="1"/>
    <xf numFmtId="2" fontId="0" fillId="0" borderId="43" xfId="0" applyNumberFormat="1" applyFill="1" applyBorder="1"/>
    <xf numFmtId="2" fontId="0" fillId="0" borderId="43" xfId="0" applyNumberFormat="1" applyBorder="1"/>
    <xf numFmtId="0" fontId="5" fillId="0" borderId="5" xfId="0" applyFont="1" applyBorder="1"/>
    <xf numFmtId="43" fontId="0" fillId="0" borderId="43" xfId="1" applyFont="1" applyBorder="1"/>
    <xf numFmtId="8" fontId="0" fillId="0" borderId="43" xfId="0" applyNumberFormat="1" applyFont="1" applyBorder="1"/>
    <xf numFmtId="10" fontId="0" fillId="4" borderId="13" xfId="2" applyNumberFormat="1" applyFont="1" applyFill="1" applyBorder="1"/>
    <xf numFmtId="2" fontId="0" fillId="4" borderId="40" xfId="0" applyNumberFormat="1" applyFill="1" applyBorder="1"/>
    <xf numFmtId="0" fontId="2" fillId="0" borderId="40" xfId="0" applyFont="1" applyBorder="1" applyAlignment="1">
      <alignment horizontal="center"/>
    </xf>
    <xf numFmtId="0" fontId="2" fillId="0" borderId="41" xfId="0" applyFont="1" applyBorder="1" applyAlignment="1">
      <alignment horizontal="center"/>
    </xf>
    <xf numFmtId="0" fontId="0" fillId="0" borderId="0" xfId="0" applyBorder="1" applyAlignment="1">
      <alignment horizontal="center"/>
    </xf>
    <xf numFmtId="2" fontId="0" fillId="0" borderId="43" xfId="0" applyNumberFormat="1" applyBorder="1" applyAlignment="1">
      <alignment horizontal="center"/>
    </xf>
    <xf numFmtId="2" fontId="0" fillId="4" borderId="43" xfId="0" applyNumberFormat="1" applyFill="1" applyBorder="1" applyAlignment="1">
      <alignment horizontal="center"/>
    </xf>
    <xf numFmtId="0" fontId="0" fillId="0" borderId="1" xfId="0" applyBorder="1" applyAlignment="1">
      <alignment horizontal="center"/>
    </xf>
    <xf numFmtId="2" fontId="0" fillId="0" borderId="13" xfId="0" applyNumberFormat="1" applyBorder="1" applyAlignment="1">
      <alignment horizontal="center"/>
    </xf>
    <xf numFmtId="0" fontId="2" fillId="0" borderId="12" xfId="0" applyFont="1" applyBorder="1"/>
    <xf numFmtId="8" fontId="0" fillId="0" borderId="13" xfId="0" applyNumberFormat="1" applyBorder="1"/>
    <xf numFmtId="0" fontId="0" fillId="0" borderId="11" xfId="0" applyBorder="1"/>
    <xf numFmtId="0" fontId="0" fillId="0" borderId="25" xfId="0" applyBorder="1"/>
    <xf numFmtId="0" fontId="0" fillId="0" borderId="46" xfId="0" applyBorder="1"/>
    <xf numFmtId="1" fontId="0" fillId="0" borderId="0" xfId="1" applyNumberFormat="1" applyFont="1" applyBorder="1" applyAlignment="1">
      <alignment horizontal="center" vertical="center"/>
    </xf>
    <xf numFmtId="1" fontId="0" fillId="0" borderId="43" xfId="1" applyNumberFormat="1" applyFont="1" applyBorder="1" applyAlignment="1">
      <alignment horizontal="center" vertical="center"/>
    </xf>
    <xf numFmtId="1" fontId="0" fillId="0" borderId="13" xfId="1" applyNumberFormat="1" applyFont="1" applyBorder="1" applyAlignment="1">
      <alignment horizontal="center" vertical="center"/>
    </xf>
    <xf numFmtId="0" fontId="2" fillId="0" borderId="44"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46" xfId="0" applyFont="1" applyBorder="1" applyAlignment="1">
      <alignment horizontal="center" vertical="center" wrapText="1"/>
    </xf>
    <xf numFmtId="0" fontId="0" fillId="0" borderId="44" xfId="0" applyBorder="1" applyAlignment="1">
      <alignment horizontal="center" vertical="center"/>
    </xf>
    <xf numFmtId="164" fontId="0" fillId="0" borderId="45" xfId="1" applyNumberFormat="1" applyFont="1" applyBorder="1" applyAlignment="1">
      <alignment horizontal="center" vertical="center"/>
    </xf>
    <xf numFmtId="0" fontId="2" fillId="0" borderId="0" xfId="0" applyFont="1" applyFill="1" applyBorder="1"/>
    <xf numFmtId="0" fontId="0" fillId="0" borderId="44" xfId="0" applyFont="1" applyFill="1" applyBorder="1" applyAlignment="1">
      <alignment wrapText="1"/>
    </xf>
    <xf numFmtId="0" fontId="0" fillId="0" borderId="46" xfId="0" applyBorder="1" applyAlignment="1">
      <alignment wrapText="1"/>
    </xf>
    <xf numFmtId="0" fontId="0" fillId="0" borderId="0" xfId="0" applyFont="1" applyBorder="1"/>
    <xf numFmtId="170" fontId="0" fillId="0" borderId="0" xfId="1" applyNumberFormat="1" applyFont="1" applyBorder="1"/>
    <xf numFmtId="1" fontId="0" fillId="0" borderId="40" xfId="0" applyNumberFormat="1" applyBorder="1"/>
    <xf numFmtId="2" fontId="0" fillId="0" borderId="5" xfId="0" applyNumberFormat="1" applyBorder="1"/>
    <xf numFmtId="2" fontId="0" fillId="0" borderId="0" xfId="0" applyNumberFormat="1" applyBorder="1"/>
    <xf numFmtId="0" fontId="0" fillId="0" borderId="15" xfId="0" applyBorder="1" applyAlignment="1">
      <alignment wrapText="1"/>
    </xf>
    <xf numFmtId="39" fontId="0" fillId="0" borderId="11" xfId="1" applyNumberFormat="1" applyFont="1" applyBorder="1"/>
    <xf numFmtId="39" fontId="0" fillId="0" borderId="25" xfId="1" applyNumberFormat="1" applyFont="1" applyBorder="1"/>
    <xf numFmtId="39" fontId="0" fillId="0" borderId="15" xfId="1" applyNumberFormat="1" applyFont="1" applyBorder="1"/>
    <xf numFmtId="0" fontId="5" fillId="0" borderId="44" xfId="0" applyFont="1" applyBorder="1"/>
    <xf numFmtId="1" fontId="0" fillId="0" borderId="45" xfId="0" applyNumberFormat="1" applyBorder="1"/>
    <xf numFmtId="1" fontId="0" fillId="0" borderId="46" xfId="0" applyNumberFormat="1" applyBorder="1"/>
    <xf numFmtId="1" fontId="0" fillId="0" borderId="43" xfId="0" applyNumberFormat="1" applyBorder="1" applyAlignment="1">
      <alignment horizontal="center" vertical="center"/>
    </xf>
    <xf numFmtId="164" fontId="0" fillId="0" borderId="1" xfId="1" applyNumberFormat="1" applyFont="1" applyBorder="1" applyAlignment="1">
      <alignment horizontal="center" vertical="center"/>
    </xf>
    <xf numFmtId="164" fontId="0" fillId="0" borderId="12" xfId="1" applyNumberFormat="1" applyFont="1" applyBorder="1" applyAlignment="1">
      <alignment horizontal="center" vertical="center"/>
    </xf>
    <xf numFmtId="0" fontId="6" fillId="0" borderId="0" xfId="162"/>
    <xf numFmtId="165" fontId="6" fillId="0" borderId="43" xfId="29" applyNumberFormat="1" applyFont="1" applyFill="1" applyBorder="1" applyAlignment="1"/>
    <xf numFmtId="165" fontId="6" fillId="3" borderId="43" xfId="29" applyNumberFormat="1" applyFont="1" applyFill="1" applyBorder="1" applyAlignment="1"/>
    <xf numFmtId="3" fontId="6" fillId="0" borderId="43" xfId="29" applyNumberFormat="1" applyFont="1" applyFill="1" applyBorder="1" applyAlignment="1"/>
    <xf numFmtId="3" fontId="6" fillId="3" borderId="43" xfId="29" applyNumberFormat="1" applyFont="1" applyFill="1" applyBorder="1" applyAlignment="1"/>
    <xf numFmtId="0" fontId="6" fillId="2" borderId="39" xfId="29" applyNumberFormat="1" applyFont="1" applyFill="1" applyBorder="1" applyAlignment="1"/>
    <xf numFmtId="0" fontId="11" fillId="0" borderId="0" xfId="162" applyFont="1"/>
    <xf numFmtId="0" fontId="6" fillId="0" borderId="0" xfId="207"/>
    <xf numFmtId="10" fontId="4" fillId="33" borderId="58" xfId="207" applyNumberFormat="1" applyFont="1" applyFill="1" applyBorder="1" applyAlignment="1">
      <alignment horizontal="center" wrapText="1"/>
    </xf>
    <xf numFmtId="10" fontId="4" fillId="33" borderId="59" xfId="207" applyNumberFormat="1" applyFont="1" applyFill="1" applyBorder="1" applyAlignment="1">
      <alignment horizontal="center" wrapText="1"/>
    </xf>
    <xf numFmtId="0" fontId="4" fillId="33" borderId="59" xfId="207" applyFont="1" applyFill="1" applyBorder="1" applyAlignment="1">
      <alignment horizontal="center" wrapText="1"/>
    </xf>
    <xf numFmtId="0" fontId="3" fillId="33" borderId="60" xfId="207" applyFont="1" applyFill="1" applyBorder="1" applyAlignment="1">
      <alignment horizontal="left" wrapText="1"/>
    </xf>
    <xf numFmtId="168" fontId="4" fillId="34" borderId="43" xfId="207" applyNumberFormat="1" applyFont="1" applyFill="1" applyBorder="1" applyAlignment="1">
      <alignment horizontal="center" wrapText="1"/>
    </xf>
    <xf numFmtId="168" fontId="4" fillId="34" borderId="0" xfId="207" applyNumberFormat="1" applyFont="1" applyFill="1" applyBorder="1" applyAlignment="1">
      <alignment horizontal="center" wrapText="1"/>
    </xf>
    <xf numFmtId="168" fontId="3" fillId="34" borderId="11" xfId="207" applyNumberFormat="1" applyFont="1" applyFill="1" applyBorder="1" applyAlignment="1">
      <alignment horizontal="left" wrapText="1"/>
    </xf>
    <xf numFmtId="168" fontId="4" fillId="33" borderId="43" xfId="207" applyNumberFormat="1" applyFont="1" applyFill="1" applyBorder="1" applyAlignment="1">
      <alignment horizontal="center" wrapText="1"/>
    </xf>
    <xf numFmtId="168" fontId="4" fillId="33" borderId="0" xfId="207" applyNumberFormat="1" applyFont="1" applyFill="1" applyBorder="1" applyAlignment="1">
      <alignment horizontal="center" wrapText="1"/>
    </xf>
    <xf numFmtId="168" fontId="3" fillId="33" borderId="11" xfId="207" applyNumberFormat="1" applyFont="1" applyFill="1" applyBorder="1" applyAlignment="1">
      <alignment horizontal="left" wrapText="1"/>
    </xf>
    <xf numFmtId="168" fontId="52" fillId="2" borderId="46" xfId="207" applyNumberFormat="1" applyFont="1" applyFill="1" applyBorder="1" applyAlignment="1">
      <alignment horizontal="center" wrapText="1"/>
    </xf>
    <xf numFmtId="168" fontId="52" fillId="2" borderId="45" xfId="207" applyNumberFormat="1" applyFont="1" applyFill="1" applyBorder="1" applyAlignment="1">
      <alignment horizontal="center" wrapText="1"/>
    </xf>
    <xf numFmtId="168" fontId="52" fillId="2" borderId="47" xfId="207" applyNumberFormat="1" applyFont="1" applyFill="1" applyBorder="1" applyAlignment="1">
      <alignment horizontal="left" wrapText="1"/>
    </xf>
    <xf numFmtId="0" fontId="4" fillId="33" borderId="58" xfId="207" applyFont="1" applyFill="1" applyBorder="1" applyAlignment="1">
      <alignment horizontal="center" wrapText="1"/>
    </xf>
    <xf numFmtId="0" fontId="4" fillId="34" borderId="43" xfId="207" applyFont="1" applyFill="1" applyBorder="1" applyAlignment="1">
      <alignment horizontal="center" wrapText="1"/>
    </xf>
    <xf numFmtId="0" fontId="4" fillId="34" borderId="0" xfId="207" applyFont="1" applyFill="1" applyBorder="1" applyAlignment="1">
      <alignment horizontal="center" wrapText="1"/>
    </xf>
    <xf numFmtId="0" fontId="3" fillId="34" borderId="11" xfId="207" applyFont="1" applyFill="1" applyBorder="1" applyAlignment="1">
      <alignment horizontal="left" wrapText="1"/>
    </xf>
    <xf numFmtId="0" fontId="4" fillId="33" borderId="43" xfId="207" applyFont="1" applyFill="1" applyBorder="1" applyAlignment="1">
      <alignment horizontal="center" wrapText="1"/>
    </xf>
    <xf numFmtId="0" fontId="4" fillId="33" borderId="0" xfId="207" applyFont="1" applyFill="1" applyBorder="1" applyAlignment="1">
      <alignment horizontal="center" wrapText="1"/>
    </xf>
    <xf numFmtId="0" fontId="3" fillId="33" borderId="11" xfId="207" applyFont="1" applyFill="1" applyBorder="1" applyAlignment="1">
      <alignment horizontal="left" wrapText="1"/>
    </xf>
    <xf numFmtId="168" fontId="6" fillId="0" borderId="0" xfId="207" applyNumberFormat="1"/>
    <xf numFmtId="0" fontId="52" fillId="2" borderId="46" xfId="207" applyFont="1" applyFill="1" applyBorder="1" applyAlignment="1">
      <alignment horizontal="center" wrapText="1"/>
    </xf>
    <xf numFmtId="0" fontId="52" fillId="2" borderId="45" xfId="207" applyFont="1" applyFill="1" applyBorder="1" applyAlignment="1">
      <alignment horizontal="center" wrapText="1"/>
    </xf>
    <xf numFmtId="0" fontId="52" fillId="2" borderId="47" xfId="207" applyFont="1" applyFill="1" applyBorder="1" applyAlignment="1">
      <alignment horizontal="left" wrapText="1"/>
    </xf>
    <xf numFmtId="0" fontId="4" fillId="3" borderId="13" xfId="207" applyFont="1" applyFill="1" applyBorder="1" applyAlignment="1">
      <alignment horizontal="center" wrapText="1"/>
    </xf>
    <xf numFmtId="0" fontId="3" fillId="3" borderId="25" xfId="207" applyFont="1" applyFill="1" applyBorder="1" applyAlignment="1">
      <alignment horizontal="left" wrapText="1"/>
    </xf>
    <xf numFmtId="0" fontId="53" fillId="0" borderId="0" xfId="207" applyFont="1"/>
    <xf numFmtId="0" fontId="4" fillId="37" borderId="13" xfId="207" applyFont="1" applyFill="1" applyBorder="1" applyAlignment="1">
      <alignment horizontal="center" wrapText="1"/>
    </xf>
    <xf numFmtId="0" fontId="3" fillId="37" borderId="25" xfId="207" applyFont="1" applyFill="1" applyBorder="1" applyAlignment="1">
      <alignment horizontal="left" wrapText="1"/>
    </xf>
    <xf numFmtId="0" fontId="4" fillId="3" borderId="43" xfId="207" applyFont="1" applyFill="1" applyBorder="1" applyAlignment="1">
      <alignment horizontal="center" wrapText="1"/>
    </xf>
    <xf numFmtId="0" fontId="3" fillId="3" borderId="11" xfId="207" applyFont="1" applyFill="1" applyBorder="1" applyAlignment="1">
      <alignment horizontal="left" wrapText="1"/>
    </xf>
    <xf numFmtId="0" fontId="4" fillId="37" borderId="43" xfId="207" applyFont="1" applyFill="1" applyBorder="1" applyAlignment="1">
      <alignment horizontal="center" wrapText="1"/>
    </xf>
    <xf numFmtId="0" fontId="3" fillId="37" borderId="11" xfId="207" applyFont="1" applyFill="1" applyBorder="1" applyAlignment="1">
      <alignment horizontal="left" wrapText="1"/>
    </xf>
    <xf numFmtId="0" fontId="10" fillId="36" borderId="47" xfId="207" applyFont="1" applyFill="1" applyBorder="1" applyAlignment="1">
      <alignment horizontal="center"/>
    </xf>
    <xf numFmtId="0" fontId="10" fillId="36" borderId="47" xfId="207" applyFont="1" applyFill="1" applyBorder="1" applyAlignment="1">
      <alignment horizontal="center" wrapText="1"/>
    </xf>
    <xf numFmtId="0" fontId="7" fillId="35" borderId="47" xfId="207" applyFont="1" applyFill="1" applyBorder="1" applyAlignment="1">
      <alignment horizontal="center" wrapText="1"/>
    </xf>
    <xf numFmtId="168" fontId="3" fillId="0" borderId="25" xfId="207" applyNumberFormat="1" applyFont="1" applyBorder="1" applyAlignment="1">
      <alignment horizontal="center"/>
    </xf>
    <xf numFmtId="168" fontId="3" fillId="0" borderId="25" xfId="207" applyNumberFormat="1" applyFont="1" applyBorder="1" applyAlignment="1">
      <alignment horizontal="left"/>
    </xf>
    <xf numFmtId="0" fontId="3" fillId="0" borderId="25" xfId="207" applyFont="1" applyBorder="1" applyAlignment="1">
      <alignment horizontal="left"/>
    </xf>
    <xf numFmtId="168" fontId="3" fillId="2" borderId="47" xfId="207" applyNumberFormat="1" applyFont="1" applyFill="1" applyBorder="1" applyAlignment="1">
      <alignment horizontal="center"/>
    </xf>
    <xf numFmtId="168" fontId="3" fillId="2" borderId="47" xfId="207" applyNumberFormat="1" applyFont="1" applyFill="1" applyBorder="1" applyAlignment="1">
      <alignment horizontal="left"/>
    </xf>
    <xf numFmtId="0" fontId="3" fillId="2" borderId="47" xfId="207" applyFont="1" applyFill="1" applyBorder="1" applyAlignment="1">
      <alignment horizontal="center"/>
    </xf>
    <xf numFmtId="0" fontId="3" fillId="2" borderId="47" xfId="207" applyFont="1" applyFill="1" applyBorder="1" applyAlignment="1">
      <alignment horizontal="left"/>
    </xf>
    <xf numFmtId="168" fontId="52" fillId="0" borderId="0" xfId="207" applyNumberFormat="1" applyFont="1"/>
    <xf numFmtId="168" fontId="52" fillId="0" borderId="0" xfId="207" applyNumberFormat="1" applyFont="1" applyAlignment="1">
      <alignment horizontal="center"/>
    </xf>
    <xf numFmtId="0" fontId="52" fillId="0" borderId="0" xfId="207" applyFont="1"/>
    <xf numFmtId="3" fontId="4" fillId="33" borderId="58" xfId="207" applyNumberFormat="1" applyFont="1" applyFill="1" applyBorder="1" applyAlignment="1">
      <alignment horizontal="center" wrapText="1"/>
    </xf>
    <xf numFmtId="3" fontId="4" fillId="34" borderId="43" xfId="207" applyNumberFormat="1" applyFont="1" applyFill="1" applyBorder="1" applyAlignment="1">
      <alignment horizontal="center" wrapText="1"/>
    </xf>
    <xf numFmtId="10" fontId="4" fillId="34" borderId="58" xfId="207" applyNumberFormat="1" applyFont="1" applyFill="1" applyBorder="1" applyAlignment="1">
      <alignment horizontal="center" wrapText="1"/>
    </xf>
    <xf numFmtId="0" fontId="3" fillId="34" borderId="60" xfId="207" applyFont="1" applyFill="1" applyBorder="1" applyAlignment="1">
      <alignment horizontal="left" wrapText="1"/>
    </xf>
    <xf numFmtId="3" fontId="3" fillId="34" borderId="11" xfId="207" applyNumberFormat="1" applyFont="1" applyFill="1" applyBorder="1" applyAlignment="1">
      <alignment horizontal="left" wrapText="1"/>
    </xf>
    <xf numFmtId="178" fontId="4" fillId="34" borderId="43" xfId="207" applyNumberFormat="1" applyFont="1" applyFill="1" applyBorder="1" applyAlignment="1">
      <alignment horizontal="center" wrapText="1"/>
    </xf>
    <xf numFmtId="178" fontId="3" fillId="34" borderId="11" xfId="207" applyNumberFormat="1" applyFont="1" applyFill="1" applyBorder="1" applyAlignment="1">
      <alignment horizontal="left" wrapText="1"/>
    </xf>
    <xf numFmtId="3" fontId="4" fillId="33" borderId="43" xfId="207" applyNumberFormat="1" applyFont="1" applyFill="1" applyBorder="1" applyAlignment="1">
      <alignment horizontal="center" wrapText="1"/>
    </xf>
    <xf numFmtId="3" fontId="3" fillId="33" borderId="11" xfId="207" applyNumberFormat="1" applyFont="1" applyFill="1" applyBorder="1" applyAlignment="1">
      <alignment horizontal="left" wrapText="1"/>
    </xf>
    <xf numFmtId="179" fontId="4" fillId="33" borderId="43" xfId="207" applyNumberFormat="1" applyFont="1" applyFill="1" applyBorder="1" applyAlignment="1">
      <alignment horizontal="center" wrapText="1"/>
    </xf>
    <xf numFmtId="179" fontId="3" fillId="33" borderId="11" xfId="207" applyNumberFormat="1" applyFont="1" applyFill="1" applyBorder="1" applyAlignment="1">
      <alignment horizontal="left" wrapText="1"/>
    </xf>
    <xf numFmtId="179" fontId="4" fillId="34" borderId="43" xfId="207" applyNumberFormat="1" applyFont="1" applyFill="1" applyBorder="1" applyAlignment="1">
      <alignment horizontal="center" wrapText="1"/>
    </xf>
    <xf numFmtId="179" fontId="3" fillId="34" borderId="11" xfId="207" applyNumberFormat="1" applyFont="1" applyFill="1" applyBorder="1" applyAlignment="1">
      <alignment horizontal="left" wrapText="1"/>
    </xf>
    <xf numFmtId="3" fontId="4" fillId="34" borderId="58" xfId="207" applyNumberFormat="1" applyFont="1" applyFill="1" applyBorder="1" applyAlignment="1">
      <alignment horizontal="center" wrapText="1"/>
    </xf>
    <xf numFmtId="0" fontId="4" fillId="3" borderId="47" xfId="207" applyFont="1" applyFill="1" applyBorder="1" applyAlignment="1">
      <alignment horizontal="center" wrapText="1"/>
    </xf>
    <xf numFmtId="0" fontId="3" fillId="3" borderId="47" xfId="207" applyFont="1" applyFill="1" applyBorder="1" applyAlignment="1">
      <alignment horizontal="left"/>
    </xf>
    <xf numFmtId="0" fontId="4" fillId="34" borderId="58" xfId="207" applyFont="1" applyFill="1" applyBorder="1" applyAlignment="1">
      <alignment horizontal="center" wrapText="1"/>
    </xf>
    <xf numFmtId="10" fontId="4" fillId="33" borderId="43" xfId="207" applyNumberFormat="1" applyFont="1" applyFill="1" applyBorder="1" applyAlignment="1">
      <alignment horizontal="center" wrapText="1"/>
    </xf>
    <xf numFmtId="4" fontId="4" fillId="34" borderId="43" xfId="207" applyNumberFormat="1" applyFont="1" applyFill="1" applyBorder="1" applyAlignment="1">
      <alignment horizontal="center" wrapText="1"/>
    </xf>
    <xf numFmtId="168" fontId="6" fillId="0" borderId="0" xfId="207" applyNumberFormat="1" applyAlignment="1">
      <alignment wrapText="1"/>
    </xf>
    <xf numFmtId="0" fontId="6" fillId="0" borderId="0" xfId="207" applyAlignment="1">
      <alignment wrapText="1"/>
    </xf>
    <xf numFmtId="0" fontId="2" fillId="0" borderId="0" xfId="207" applyFont="1"/>
    <xf numFmtId="3" fontId="54" fillId="0" borderId="61" xfId="207" applyNumberFormat="1" applyFont="1" applyBorder="1" applyAlignment="1">
      <alignment horizontal="right" wrapText="1"/>
    </xf>
    <xf numFmtId="0" fontId="54" fillId="0" borderId="61" xfId="207" applyFont="1" applyBorder="1" applyAlignment="1">
      <alignment horizontal="left" wrapText="1"/>
    </xf>
    <xf numFmtId="3" fontId="54" fillId="0" borderId="0" xfId="207" applyNumberFormat="1" applyFont="1" applyAlignment="1">
      <alignment horizontal="right" wrapText="1"/>
    </xf>
    <xf numFmtId="0" fontId="54" fillId="0" borderId="0" xfId="207" applyFont="1" applyAlignment="1">
      <alignment horizontal="right" wrapText="1"/>
    </xf>
    <xf numFmtId="0" fontId="54" fillId="0" borderId="0" xfId="207" applyFont="1" applyAlignment="1">
      <alignment horizontal="left" wrapText="1"/>
    </xf>
    <xf numFmtId="10" fontId="0" fillId="0" borderId="0" xfId="247" applyNumberFormat="1" applyFont="1"/>
    <xf numFmtId="3" fontId="56" fillId="0" borderId="0" xfId="207" applyNumberFormat="1" applyFont="1" applyAlignment="1">
      <alignment horizontal="right" wrapText="1"/>
    </xf>
    <xf numFmtId="0" fontId="56" fillId="0" borderId="0" xfId="207" applyFont="1" applyAlignment="1">
      <alignment horizontal="right" wrapText="1"/>
    </xf>
    <xf numFmtId="0" fontId="56" fillId="0" borderId="0" xfId="207" applyFont="1" applyAlignment="1">
      <alignment horizontal="left" wrapText="1"/>
    </xf>
    <xf numFmtId="0" fontId="54" fillId="30" borderId="62" xfId="207" applyFont="1" applyFill="1" applyBorder="1" applyAlignment="1">
      <alignment horizontal="center" vertical="center" wrapText="1"/>
    </xf>
    <xf numFmtId="0" fontId="56" fillId="0" borderId="0" xfId="207" applyFont="1"/>
    <xf numFmtId="10" fontId="0" fillId="0" borderId="5" xfId="0" applyNumberFormat="1" applyBorder="1" applyAlignment="1">
      <alignment horizontal="center" vertical="center"/>
    </xf>
    <xf numFmtId="0" fontId="59" fillId="0" borderId="0" xfId="0" applyFont="1"/>
    <xf numFmtId="0" fontId="60" fillId="0" borderId="0" xfId="0" applyFont="1"/>
    <xf numFmtId="0" fontId="0" fillId="0" borderId="61" xfId="0" applyBorder="1"/>
    <xf numFmtId="0" fontId="62" fillId="0" borderId="61" xfId="0" applyFont="1" applyBorder="1"/>
    <xf numFmtId="0" fontId="6" fillId="0" borderId="0" xfId="0" applyFont="1"/>
    <xf numFmtId="0" fontId="8" fillId="0" borderId="0" xfId="23" applyAlignment="1" applyProtection="1"/>
    <xf numFmtId="0" fontId="63" fillId="0" borderId="0" xfId="0" applyFont="1"/>
    <xf numFmtId="0" fontId="0" fillId="0" borderId="0" xfId="0"/>
    <xf numFmtId="0" fontId="0" fillId="0" borderId="69" xfId="0" applyBorder="1" applyAlignment="1">
      <alignment horizontal="center" vertical="center"/>
    </xf>
    <xf numFmtId="1" fontId="0" fillId="0" borderId="70" xfId="0" applyNumberFormat="1" applyBorder="1" applyAlignment="1">
      <alignment horizontal="center" vertical="center"/>
    </xf>
    <xf numFmtId="1" fontId="0" fillId="0" borderId="63" xfId="0" applyNumberFormat="1" applyBorder="1" applyAlignment="1">
      <alignment horizontal="center" vertical="center"/>
    </xf>
    <xf numFmtId="10" fontId="0" fillId="0" borderId="64" xfId="0" applyNumberFormat="1" applyBorder="1" applyAlignment="1">
      <alignment horizontal="center" vertical="center"/>
    </xf>
    <xf numFmtId="1" fontId="0" fillId="0" borderId="65" xfId="0" applyNumberFormat="1" applyBorder="1" applyAlignment="1">
      <alignment horizontal="center" vertical="center"/>
    </xf>
    <xf numFmtId="10" fontId="0" fillId="0" borderId="5" xfId="0" applyNumberFormat="1" applyBorder="1" applyAlignment="1">
      <alignment vertical="center"/>
    </xf>
    <xf numFmtId="0" fontId="0" fillId="0" borderId="5" xfId="0" applyBorder="1" applyAlignment="1">
      <alignment vertical="center"/>
    </xf>
    <xf numFmtId="3" fontId="17" fillId="0" borderId="0" xfId="1" applyNumberFormat="1" applyFont="1" applyBorder="1" applyAlignment="1">
      <alignment horizontal="center"/>
    </xf>
    <xf numFmtId="3" fontId="17" fillId="0" borderId="61" xfId="1" applyNumberFormat="1" applyFont="1" applyBorder="1" applyAlignment="1">
      <alignment horizontal="center"/>
    </xf>
    <xf numFmtId="0" fontId="0" fillId="0" borderId="69" xfId="0" applyBorder="1" applyAlignment="1">
      <alignment horizontal="center" vertical="center" wrapText="1"/>
    </xf>
    <xf numFmtId="0" fontId="0" fillId="0" borderId="40" xfId="0" applyBorder="1" applyAlignment="1">
      <alignment horizontal="center" vertical="center" wrapText="1"/>
    </xf>
    <xf numFmtId="10" fontId="0" fillId="0" borderId="69" xfId="0" applyNumberFormat="1" applyBorder="1" applyAlignment="1">
      <alignment vertical="center"/>
    </xf>
    <xf numFmtId="10" fontId="0" fillId="0" borderId="64" xfId="0" applyNumberFormat="1" applyBorder="1" applyAlignment="1">
      <alignment vertical="center"/>
    </xf>
    <xf numFmtId="0" fontId="0" fillId="0" borderId="70" xfId="1" applyNumberFormat="1" applyFont="1" applyBorder="1" applyAlignment="1">
      <alignment horizontal="center" vertical="center"/>
    </xf>
    <xf numFmtId="0" fontId="0" fillId="0" borderId="63" xfId="1" applyNumberFormat="1" applyFont="1" applyBorder="1" applyAlignment="1">
      <alignment horizontal="center" vertical="center"/>
    </xf>
    <xf numFmtId="0" fontId="0" fillId="0" borderId="65" xfId="1" applyNumberFormat="1" applyFont="1" applyBorder="1" applyAlignment="1">
      <alignment horizontal="center" vertical="center"/>
    </xf>
    <xf numFmtId="1" fontId="0" fillId="0" borderId="63" xfId="1" applyNumberFormat="1" applyFont="1" applyBorder="1" applyAlignment="1">
      <alignment horizontal="center" vertical="center"/>
    </xf>
    <xf numFmtId="0" fontId="0" fillId="0" borderId="69" xfId="0" applyBorder="1"/>
    <xf numFmtId="1" fontId="0" fillId="0" borderId="70" xfId="0" applyNumberFormat="1" applyFill="1" applyBorder="1"/>
    <xf numFmtId="1" fontId="0" fillId="0" borderId="63" xfId="0" applyNumberFormat="1" applyBorder="1"/>
    <xf numFmtId="0" fontId="0" fillId="0" borderId="63" xfId="0" applyBorder="1"/>
    <xf numFmtId="0" fontId="0" fillId="0" borderId="64" xfId="0" applyBorder="1"/>
    <xf numFmtId="1" fontId="59" fillId="0" borderId="65" xfId="0" applyNumberFormat="1" applyFont="1" applyBorder="1"/>
    <xf numFmtId="0" fontId="0" fillId="0" borderId="66" xfId="0" applyBorder="1"/>
    <xf numFmtId="0" fontId="0" fillId="0" borderId="68" xfId="0" applyBorder="1"/>
    <xf numFmtId="37" fontId="0" fillId="0" borderId="40" xfId="1" applyNumberFormat="1" applyFont="1" applyBorder="1" applyAlignment="1">
      <alignment horizontal="center" vertical="center"/>
    </xf>
    <xf numFmtId="37" fontId="0" fillId="0" borderId="5" xfId="1" applyNumberFormat="1" applyFont="1" applyBorder="1" applyAlignment="1">
      <alignment horizontal="center" vertical="center"/>
    </xf>
    <xf numFmtId="37" fontId="0" fillId="0" borderId="0" xfId="1" applyNumberFormat="1" applyFont="1" applyBorder="1" applyAlignment="1">
      <alignment horizontal="center" vertical="center"/>
    </xf>
    <xf numFmtId="164" fontId="60" fillId="0" borderId="13" xfId="1" applyNumberFormat="1" applyFont="1" applyBorder="1"/>
    <xf numFmtId="1" fontId="0" fillId="0" borderId="40" xfId="1" applyNumberFormat="1" applyFont="1" applyBorder="1" applyAlignment="1">
      <alignment horizontal="center" vertical="center"/>
    </xf>
    <xf numFmtId="1" fontId="0" fillId="0" borderId="70" xfId="1" applyNumberFormat="1" applyFont="1" applyBorder="1" applyAlignment="1">
      <alignment horizontal="center" vertical="center"/>
    </xf>
    <xf numFmtId="0" fontId="0" fillId="0" borderId="64" xfId="0" applyBorder="1" applyAlignment="1">
      <alignment horizontal="center" vertical="center"/>
    </xf>
    <xf numFmtId="1" fontId="0" fillId="0" borderId="61" xfId="0" applyNumberFormat="1" applyBorder="1" applyAlignment="1">
      <alignment horizontal="center" vertical="center"/>
    </xf>
    <xf numFmtId="1" fontId="0" fillId="0" borderId="61" xfId="1" applyNumberFormat="1" applyFont="1" applyBorder="1" applyAlignment="1">
      <alignment horizontal="center" vertical="center"/>
    </xf>
    <xf numFmtId="1" fontId="0" fillId="0" borderId="65" xfId="1" applyNumberFormat="1" applyFont="1" applyBorder="1" applyAlignment="1">
      <alignment horizontal="center" vertical="center"/>
    </xf>
    <xf numFmtId="164" fontId="0" fillId="0" borderId="46" xfId="1" applyNumberFormat="1" applyFont="1" applyBorder="1" applyAlignment="1">
      <alignment horizontal="center" vertical="center"/>
    </xf>
    <xf numFmtId="0" fontId="6" fillId="0" borderId="0" xfId="207" applyFill="1"/>
    <xf numFmtId="3" fontId="17" fillId="0" borderId="13" xfId="0" applyNumberFormat="1" applyFont="1" applyBorder="1" applyAlignment="1">
      <alignment horizontal="center" vertical="center"/>
    </xf>
    <xf numFmtId="3" fontId="17" fillId="0" borderId="6" xfId="1" applyNumberFormat="1" applyFont="1" applyBorder="1" applyAlignment="1">
      <alignment horizontal="center" vertical="center"/>
    </xf>
    <xf numFmtId="9" fontId="60" fillId="0" borderId="0" xfId="2" applyFont="1" applyFill="1" applyBorder="1"/>
    <xf numFmtId="164" fontId="0" fillId="0" borderId="69" xfId="1" applyNumberFormat="1" applyFont="1" applyBorder="1"/>
    <xf numFmtId="164" fontId="0" fillId="0" borderId="64" xfId="1" applyNumberFormat="1" applyFont="1" applyBorder="1"/>
    <xf numFmtId="0" fontId="15" fillId="0" borderId="71" xfId="0" applyFont="1" applyBorder="1" applyAlignment="1">
      <alignment horizontal="left"/>
    </xf>
    <xf numFmtId="0" fontId="17" fillId="0" borderId="11" xfId="23" applyFont="1" applyBorder="1" applyAlignment="1">
      <alignment wrapText="1"/>
    </xf>
    <xf numFmtId="0" fontId="15" fillId="0" borderId="11" xfId="0" applyFont="1" applyBorder="1" applyAlignment="1">
      <alignment horizontal="left"/>
    </xf>
    <xf numFmtId="0" fontId="15" fillId="0" borderId="72" xfId="0" applyFont="1" applyBorder="1" applyAlignment="1">
      <alignment horizontal="left"/>
    </xf>
    <xf numFmtId="0" fontId="0" fillId="0" borderId="71" xfId="0" applyBorder="1"/>
    <xf numFmtId="164" fontId="60" fillId="0" borderId="0" xfId="1" applyNumberFormat="1" applyFont="1"/>
    <xf numFmtId="164" fontId="60" fillId="0" borderId="33" xfId="1" applyNumberFormat="1" applyFont="1" applyBorder="1"/>
    <xf numFmtId="164" fontId="60" fillId="0" borderId="34" xfId="1" applyNumberFormat="1" applyFont="1" applyBorder="1"/>
    <xf numFmtId="164" fontId="60" fillId="0" borderId="35" xfId="1" applyNumberFormat="1" applyFont="1" applyBorder="1"/>
    <xf numFmtId="164" fontId="60" fillId="0" borderId="39" xfId="1" applyNumberFormat="1" applyFont="1" applyBorder="1"/>
    <xf numFmtId="164" fontId="60" fillId="0" borderId="33" xfId="1" applyNumberFormat="1" applyFont="1" applyBorder="1" applyAlignment="1">
      <alignment wrapText="1"/>
    </xf>
    <xf numFmtId="164" fontId="60" fillId="0" borderId="34" xfId="1" applyNumberFormat="1" applyFont="1" applyBorder="1" applyAlignment="1">
      <alignment wrapText="1"/>
    </xf>
    <xf numFmtId="164" fontId="61" fillId="0" borderId="35" xfId="1" applyNumberFormat="1" applyFont="1" applyBorder="1" applyAlignment="1">
      <alignment wrapText="1"/>
    </xf>
    <xf numFmtId="164" fontId="60" fillId="0" borderId="5" xfId="1" applyNumberFormat="1" applyFont="1" applyBorder="1"/>
    <xf numFmtId="164" fontId="60" fillId="0" borderId="0" xfId="1" applyNumberFormat="1" applyFont="1" applyBorder="1"/>
    <xf numFmtId="164" fontId="60" fillId="0" borderId="42" xfId="1" applyNumberFormat="1" applyFont="1" applyBorder="1"/>
    <xf numFmtId="164" fontId="60" fillId="0" borderId="12" xfId="1" applyNumberFormat="1" applyFont="1" applyBorder="1"/>
    <xf numFmtId="164" fontId="60" fillId="0" borderId="1" xfId="1" applyNumberFormat="1" applyFont="1" applyBorder="1"/>
    <xf numFmtId="1" fontId="0" fillId="0" borderId="39" xfId="0" applyNumberFormat="1" applyBorder="1"/>
    <xf numFmtId="2" fontId="0" fillId="0" borderId="64" xfId="0" applyNumberFormat="1" applyBorder="1"/>
    <xf numFmtId="0" fontId="0" fillId="0" borderId="0" xfId="0" applyAlignment="1">
      <alignment horizontal="right"/>
    </xf>
    <xf numFmtId="0" fontId="2" fillId="0" borderId="64" xfId="0" applyFont="1" applyBorder="1"/>
    <xf numFmtId="0" fontId="2" fillId="0" borderId="69" xfId="0" applyFont="1" applyBorder="1"/>
    <xf numFmtId="2" fontId="0" fillId="0" borderId="63" xfId="0" applyNumberFormat="1" applyBorder="1"/>
    <xf numFmtId="2" fontId="0" fillId="0" borderId="61" xfId="0" applyNumberFormat="1" applyBorder="1"/>
    <xf numFmtId="2" fontId="0" fillId="0" borderId="65" xfId="0" applyNumberFormat="1" applyBorder="1"/>
    <xf numFmtId="0" fontId="0" fillId="0" borderId="70" xfId="0" applyBorder="1"/>
    <xf numFmtId="9" fontId="0" fillId="4" borderId="43" xfId="2" applyFont="1" applyFill="1" applyBorder="1"/>
    <xf numFmtId="0" fontId="0" fillId="0" borderId="0" xfId="0" applyFill="1" applyAlignment="1">
      <alignment wrapText="1"/>
    </xf>
    <xf numFmtId="180" fontId="0" fillId="0" borderId="5" xfId="0" applyNumberFormat="1" applyBorder="1"/>
    <xf numFmtId="180" fontId="0" fillId="0" borderId="43" xfId="0" applyNumberFormat="1" applyBorder="1"/>
    <xf numFmtId="180" fontId="0" fillId="8" borderId="5" xfId="0" applyNumberFormat="1" applyFill="1" applyBorder="1"/>
    <xf numFmtId="180" fontId="0" fillId="0" borderId="12" xfId="0" applyNumberFormat="1" applyBorder="1"/>
    <xf numFmtId="180" fontId="0" fillId="0" borderId="13" xfId="0" applyNumberFormat="1" applyFill="1" applyBorder="1"/>
    <xf numFmtId="174" fontId="0" fillId="0" borderId="0" xfId="1" applyNumberFormat="1" applyFont="1" applyBorder="1"/>
    <xf numFmtId="0" fontId="0" fillId="0" borderId="65" xfId="0" applyBorder="1"/>
    <xf numFmtId="0" fontId="2" fillId="0" borderId="66" xfId="0" applyFont="1" applyBorder="1"/>
    <xf numFmtId="0" fontId="0" fillId="0" borderId="67" xfId="0" applyBorder="1"/>
    <xf numFmtId="0" fontId="2" fillId="0" borderId="0" xfId="0" applyFont="1" applyBorder="1"/>
    <xf numFmtId="171" fontId="0" fillId="0" borderId="63" xfId="0" applyNumberFormat="1" applyBorder="1"/>
    <xf numFmtId="1" fontId="0" fillId="0" borderId="61" xfId="0" applyNumberFormat="1" applyFill="1" applyBorder="1"/>
    <xf numFmtId="1" fontId="0" fillId="0" borderId="65" xfId="0" applyNumberFormat="1" applyFill="1" applyBorder="1"/>
    <xf numFmtId="1" fontId="0" fillId="0" borderId="64" xfId="0" applyNumberFormat="1" applyFill="1" applyBorder="1"/>
    <xf numFmtId="171" fontId="0" fillId="0" borderId="70" xfId="0" applyNumberFormat="1" applyBorder="1"/>
    <xf numFmtId="1" fontId="0" fillId="0" borderId="69" xfId="0" applyNumberFormat="1" applyBorder="1"/>
    <xf numFmtId="1" fontId="0" fillId="0" borderId="5" xfId="0" applyNumberFormat="1" applyBorder="1"/>
    <xf numFmtId="1" fontId="0" fillId="0" borderId="0" xfId="0" applyNumberFormat="1" applyBorder="1"/>
    <xf numFmtId="1" fontId="0" fillId="0" borderId="41" xfId="0" applyNumberFormat="1" applyBorder="1"/>
    <xf numFmtId="1" fontId="0" fillId="0" borderId="43" xfId="0" applyNumberFormat="1" applyBorder="1"/>
    <xf numFmtId="43" fontId="0" fillId="0" borderId="11" xfId="0" applyNumberFormat="1" applyBorder="1"/>
    <xf numFmtId="0" fontId="0" fillId="0" borderId="72" xfId="0" applyBorder="1"/>
    <xf numFmtId="0" fontId="64" fillId="0" borderId="0" xfId="4" applyFont="1" applyBorder="1"/>
    <xf numFmtId="0" fontId="2" fillId="0" borderId="66" xfId="0" applyFont="1" applyBorder="1" applyAlignment="1"/>
    <xf numFmtId="0" fontId="2" fillId="0" borderId="67" xfId="0" applyFont="1" applyBorder="1" applyAlignment="1"/>
    <xf numFmtId="0" fontId="2" fillId="0" borderId="68" xfId="0" applyFont="1" applyBorder="1" applyAlignment="1"/>
    <xf numFmtId="1" fontId="0" fillId="0" borderId="71" xfId="0" applyNumberFormat="1" applyBorder="1"/>
    <xf numFmtId="1" fontId="0" fillId="0" borderId="11" xfId="0" applyNumberFormat="1" applyBorder="1"/>
    <xf numFmtId="0" fontId="10" fillId="2" borderId="18" xfId="29" applyNumberFormat="1" applyFont="1" applyFill="1" applyBorder="1" applyAlignment="1">
      <alignment horizontal="right" wrapText="1"/>
    </xf>
    <xf numFmtId="172" fontId="0" fillId="0" borderId="11" xfId="0" applyNumberFormat="1" applyFont="1" applyFill="1" applyBorder="1" applyAlignment="1"/>
    <xf numFmtId="172" fontId="0" fillId="0" borderId="11" xfId="0" applyNumberFormat="1" applyBorder="1"/>
    <xf numFmtId="172" fontId="0" fillId="0" borderId="72" xfId="0" applyNumberFormat="1" applyBorder="1"/>
    <xf numFmtId="0" fontId="10" fillId="2" borderId="66" xfId="29" applyNumberFormat="1" applyFont="1" applyFill="1" applyBorder="1" applyAlignment="1">
      <alignment horizontal="centerContinuous"/>
    </xf>
    <xf numFmtId="0" fontId="10" fillId="2" borderId="67" xfId="29" applyNumberFormat="1" applyFont="1" applyFill="1" applyBorder="1" applyAlignment="1">
      <alignment horizontal="centerContinuous"/>
    </xf>
    <xf numFmtId="0" fontId="10" fillId="2" borderId="68" xfId="29" applyNumberFormat="1" applyFont="1" applyFill="1" applyBorder="1" applyAlignment="1">
      <alignment horizontal="centerContinuous"/>
    </xf>
    <xf numFmtId="0" fontId="0" fillId="0" borderId="62" xfId="0" applyBorder="1"/>
    <xf numFmtId="0" fontId="10" fillId="0" borderId="62" xfId="0" applyNumberFormat="1" applyFont="1" applyFill="1" applyBorder="1" applyAlignment="1"/>
    <xf numFmtId="0" fontId="0" fillId="0" borderId="69" xfId="0" applyBorder="1" applyAlignment="1">
      <alignment wrapText="1"/>
    </xf>
    <xf numFmtId="0" fontId="0" fillId="0" borderId="66" xfId="0" applyBorder="1" applyAlignment="1">
      <alignment wrapText="1"/>
    </xf>
    <xf numFmtId="0" fontId="0" fillId="0" borderId="67" xfId="0" applyBorder="1" applyAlignment="1">
      <alignment wrapText="1"/>
    </xf>
    <xf numFmtId="0" fontId="0" fillId="0" borderId="68" xfId="0" applyBorder="1" applyAlignment="1">
      <alignment wrapText="1"/>
    </xf>
    <xf numFmtId="1" fontId="0" fillId="0" borderId="72" xfId="0" applyNumberFormat="1" applyBorder="1"/>
    <xf numFmtId="0" fontId="2" fillId="0" borderId="69" xfId="0" applyFont="1" applyBorder="1" applyAlignment="1">
      <alignment wrapText="1"/>
    </xf>
    <xf numFmtId="0" fontId="2" fillId="0" borderId="40" xfId="0" applyFont="1" applyBorder="1" applyAlignment="1">
      <alignment wrapText="1"/>
    </xf>
    <xf numFmtId="0" fontId="2" fillId="0" borderId="71" xfId="0" applyFont="1" applyBorder="1" applyAlignment="1">
      <alignment wrapText="1"/>
    </xf>
    <xf numFmtId="0" fontId="2" fillId="0" borderId="70" xfId="0" applyFont="1" applyBorder="1" applyAlignment="1">
      <alignment wrapText="1"/>
    </xf>
    <xf numFmtId="181" fontId="60" fillId="0" borderId="0" xfId="1" applyNumberFormat="1" applyFont="1" applyBorder="1"/>
    <xf numFmtId="181" fontId="60" fillId="0" borderId="1" xfId="1" applyNumberFormat="1" applyFont="1" applyBorder="1"/>
    <xf numFmtId="0" fontId="5" fillId="0" borderId="66" xfId="0" applyFont="1" applyBorder="1"/>
    <xf numFmtId="1" fontId="0" fillId="0" borderId="67" xfId="0" applyNumberFormat="1" applyBorder="1"/>
    <xf numFmtId="1" fontId="0" fillId="0" borderId="68" xfId="0" applyNumberFormat="1" applyBorder="1"/>
    <xf numFmtId="170" fontId="0" fillId="0" borderId="43" xfId="1" applyNumberFormat="1" applyFont="1" applyFill="1" applyBorder="1"/>
    <xf numFmtId="170" fontId="0" fillId="0" borderId="13" xfId="1" applyNumberFormat="1" applyFont="1" applyFill="1" applyBorder="1"/>
    <xf numFmtId="164" fontId="60" fillId="0" borderId="69" xfId="1" applyNumberFormat="1" applyFont="1" applyBorder="1"/>
    <xf numFmtId="164" fontId="60" fillId="0" borderId="40" xfId="1" applyNumberFormat="1" applyFont="1" applyBorder="1"/>
    <xf numFmtId="164" fontId="60" fillId="0" borderId="70" xfId="1" applyNumberFormat="1" applyFont="1" applyBorder="1"/>
    <xf numFmtId="164" fontId="60" fillId="0" borderId="63" xfId="1" applyNumberFormat="1" applyFont="1" applyBorder="1"/>
    <xf numFmtId="164" fontId="60" fillId="0" borderId="64" xfId="1" applyNumberFormat="1" applyFont="1" applyBorder="1"/>
    <xf numFmtId="164" fontId="60" fillId="0" borderId="61" xfId="1" applyNumberFormat="1" applyFont="1" applyBorder="1"/>
    <xf numFmtId="164" fontId="60" fillId="0" borderId="65" xfId="1" applyNumberFormat="1" applyFont="1" applyBorder="1"/>
    <xf numFmtId="164" fontId="0" fillId="0" borderId="69" xfId="0" applyNumberFormat="1" applyBorder="1"/>
    <xf numFmtId="164" fontId="0" fillId="0" borderId="5" xfId="0" applyNumberFormat="1" applyBorder="1"/>
    <xf numFmtId="164" fontId="0" fillId="0" borderId="64" xfId="0" applyNumberFormat="1" applyBorder="1"/>
    <xf numFmtId="3" fontId="17" fillId="0" borderId="69" xfId="1" applyNumberFormat="1" applyFont="1" applyBorder="1" applyAlignment="1">
      <alignment horizontal="center"/>
    </xf>
    <xf numFmtId="3" fontId="17" fillId="0" borderId="70" xfId="0" applyNumberFormat="1" applyFont="1" applyBorder="1" applyAlignment="1">
      <alignment horizontal="center" vertical="center"/>
    </xf>
    <xf numFmtId="37" fontId="0" fillId="0" borderId="69" xfId="1" applyNumberFormat="1" applyFont="1" applyBorder="1" applyAlignment="1">
      <alignment horizontal="center" vertical="center"/>
    </xf>
    <xf numFmtId="37" fontId="0" fillId="0" borderId="70" xfId="1" applyNumberFormat="1" applyFont="1" applyBorder="1" applyAlignment="1">
      <alignment horizontal="center" vertical="center"/>
    </xf>
    <xf numFmtId="3" fontId="17" fillId="0" borderId="63" xfId="0" applyNumberFormat="1" applyFont="1" applyBorder="1" applyAlignment="1">
      <alignment horizontal="center" vertical="center"/>
    </xf>
    <xf numFmtId="37" fontId="0" fillId="0" borderId="63" xfId="1" applyNumberFormat="1" applyFont="1" applyBorder="1" applyAlignment="1">
      <alignment horizontal="center" vertical="center"/>
    </xf>
    <xf numFmtId="3" fontId="17" fillId="0" borderId="64" xfId="1" applyNumberFormat="1" applyFont="1" applyBorder="1" applyAlignment="1">
      <alignment horizontal="center"/>
    </xf>
    <xf numFmtId="3" fontId="17" fillId="0" borderId="65" xfId="1" applyNumberFormat="1" applyFont="1" applyBorder="1" applyAlignment="1">
      <alignment horizontal="center" vertical="center"/>
    </xf>
    <xf numFmtId="37" fontId="0" fillId="0" borderId="64" xfId="1" applyNumberFormat="1" applyFont="1" applyBorder="1" applyAlignment="1">
      <alignment horizontal="center" vertical="center"/>
    </xf>
    <xf numFmtId="37" fontId="0" fillId="0" borderId="61" xfId="1" applyNumberFormat="1" applyFont="1" applyBorder="1" applyAlignment="1">
      <alignment horizontal="center" vertical="center"/>
    </xf>
    <xf numFmtId="37" fontId="0" fillId="0" borderId="65" xfId="1" applyNumberFormat="1" applyFont="1" applyBorder="1" applyAlignment="1">
      <alignment horizontal="center" vertical="center"/>
    </xf>
    <xf numFmtId="164" fontId="60" fillId="0" borderId="0" xfId="0" applyNumberFormat="1" applyFont="1"/>
    <xf numFmtId="166" fontId="0" fillId="0" borderId="5" xfId="0" applyNumberFormat="1" applyBorder="1"/>
    <xf numFmtId="8" fontId="65" fillId="0" borderId="43" xfId="0" applyNumberFormat="1" applyFont="1" applyBorder="1"/>
    <xf numFmtId="0" fontId="0" fillId="39" borderId="0" xfId="0" applyFill="1" applyAlignment="1">
      <alignment horizontal="center" vertical="center" textRotation="90" wrapText="1"/>
    </xf>
    <xf numFmtId="0" fontId="0" fillId="38" borderId="0" xfId="0" applyFill="1" applyAlignment="1">
      <alignment horizontal="center" vertical="center" textRotation="90" wrapText="1"/>
    </xf>
    <xf numFmtId="0" fontId="17" fillId="0" borderId="66" xfId="0" applyFont="1" applyBorder="1" applyAlignment="1">
      <alignment horizontal="center"/>
    </xf>
    <xf numFmtId="0" fontId="0" fillId="0" borderId="67" xfId="0" applyBorder="1"/>
    <xf numFmtId="0" fontId="0" fillId="0" borderId="68" xfId="0" applyBorder="1"/>
    <xf numFmtId="0" fontId="0" fillId="0" borderId="33" xfId="0" applyBorder="1" applyAlignment="1">
      <alignment horizontal="center"/>
    </xf>
    <xf numFmtId="0" fontId="0" fillId="0" borderId="34" xfId="0" applyBorder="1" applyAlignment="1">
      <alignment horizontal="center"/>
    </xf>
    <xf numFmtId="0" fontId="0" fillId="0" borderId="35" xfId="0" applyBorder="1" applyAlignment="1">
      <alignment horizontal="center"/>
    </xf>
    <xf numFmtId="0" fontId="17" fillId="0" borderId="33" xfId="0" applyFont="1" applyBorder="1" applyAlignment="1">
      <alignment horizontal="center"/>
    </xf>
    <xf numFmtId="0" fontId="17" fillId="0" borderId="35" xfId="0" applyFont="1" applyBorder="1" applyAlignment="1">
      <alignment horizontal="center"/>
    </xf>
    <xf numFmtId="0" fontId="54" fillId="0" borderId="0" xfId="207" applyFont="1" applyAlignment="1">
      <alignment horizontal="left" vertical="center" wrapText="1"/>
    </xf>
    <xf numFmtId="0" fontId="54" fillId="0" borderId="0" xfId="207" applyFont="1" applyAlignment="1">
      <alignment horizontal="center" vertical="center" wrapText="1"/>
    </xf>
    <xf numFmtId="0" fontId="54" fillId="30" borderId="62" xfId="207" applyFont="1" applyFill="1" applyBorder="1" applyAlignment="1">
      <alignment horizontal="center" vertical="center" wrapText="1"/>
    </xf>
    <xf numFmtId="0" fontId="56" fillId="0" borderId="0" xfId="207" applyFont="1" applyAlignment="1">
      <alignment horizontal="left" wrapText="1"/>
    </xf>
    <xf numFmtId="0" fontId="56" fillId="0" borderId="0" xfId="207" applyFont="1" applyAlignment="1">
      <alignment horizontal="right" wrapText="1"/>
    </xf>
    <xf numFmtId="0" fontId="57" fillId="0" borderId="40" xfId="207" applyFont="1" applyBorder="1" applyAlignment="1">
      <alignment wrapText="1"/>
    </xf>
    <xf numFmtId="0" fontId="6" fillId="0" borderId="40" xfId="207" applyBorder="1" applyAlignment="1">
      <alignment wrapText="1"/>
    </xf>
    <xf numFmtId="0" fontId="56" fillId="0" borderId="0" xfId="207" applyFont="1" applyAlignment="1">
      <alignment vertical="top" wrapText="1"/>
    </xf>
    <xf numFmtId="0" fontId="6" fillId="0" borderId="0" xfId="207" applyAlignment="1">
      <alignment vertical="top" wrapText="1"/>
    </xf>
    <xf numFmtId="0" fontId="54" fillId="0" borderId="0" xfId="207" applyFont="1" applyAlignment="1">
      <alignment vertical="top" wrapText="1"/>
    </xf>
    <xf numFmtId="0" fontId="57" fillId="0" borderId="0" xfId="207" applyFont="1" applyAlignment="1">
      <alignment wrapText="1"/>
    </xf>
    <xf numFmtId="0" fontId="6" fillId="0" borderId="0" xfId="207" applyAlignment="1">
      <alignment wrapText="1"/>
    </xf>
    <xf numFmtId="6" fontId="2" fillId="0" borderId="1" xfId="0" applyNumberFormat="1" applyFont="1" applyBorder="1" applyAlignment="1">
      <alignment horizontal="center"/>
    </xf>
    <xf numFmtId="0" fontId="2" fillId="0" borderId="1" xfId="0" applyFont="1" applyBorder="1" applyAlignment="1">
      <alignment horizontal="center"/>
    </xf>
    <xf numFmtId="0" fontId="0" fillId="0" borderId="40" xfId="0" applyBorder="1" applyAlignment="1">
      <alignment horizontal="center"/>
    </xf>
    <xf numFmtId="0" fontId="0" fillId="0" borderId="70" xfId="0" applyBorder="1" applyAlignment="1">
      <alignment horizontal="center"/>
    </xf>
    <xf numFmtId="0" fontId="3" fillId="0" borderId="2" xfId="3" applyFont="1" applyBorder="1" applyAlignment="1">
      <alignment horizontal="center"/>
    </xf>
    <xf numFmtId="0" fontId="3" fillId="0" borderId="16" xfId="3" applyFont="1" applyBorder="1" applyAlignment="1">
      <alignment horizontal="center"/>
    </xf>
    <xf numFmtId="0" fontId="3" fillId="0" borderId="17" xfId="3" applyFont="1" applyBorder="1" applyAlignment="1">
      <alignment horizontal="center"/>
    </xf>
    <xf numFmtId="0" fontId="22" fillId="0" borderId="36" xfId="0" applyFont="1" applyBorder="1" applyAlignment="1">
      <alignment horizontal="center" vertical="center"/>
    </xf>
    <xf numFmtId="0" fontId="30" fillId="7" borderId="0" xfId="0" applyFont="1" applyFill="1" applyAlignment="1">
      <alignment horizontal="center"/>
    </xf>
    <xf numFmtId="0" fontId="7" fillId="35" borderId="44" xfId="207" applyFont="1" applyFill="1" applyBorder="1" applyAlignment="1">
      <alignment horizontal="center" wrapText="1"/>
    </xf>
    <xf numFmtId="0" fontId="7" fillId="35" borderId="45" xfId="207" applyFont="1" applyFill="1" applyBorder="1" applyAlignment="1">
      <alignment horizontal="center" wrapText="1"/>
    </xf>
    <xf numFmtId="0" fontId="7" fillId="35" borderId="46" xfId="207" applyFont="1" applyFill="1" applyBorder="1" applyAlignment="1">
      <alignment horizontal="center" wrapText="1"/>
    </xf>
    <xf numFmtId="0" fontId="10" fillId="36" borderId="44" xfId="207" applyFont="1" applyFill="1" applyBorder="1" applyAlignment="1">
      <alignment horizontal="center" wrapText="1"/>
    </xf>
    <xf numFmtId="0" fontId="10" fillId="36" borderId="46" xfId="207" applyFont="1" applyFill="1" applyBorder="1" applyAlignment="1">
      <alignment horizontal="center" wrapText="1"/>
    </xf>
    <xf numFmtId="0" fontId="3" fillId="3" borderId="11" xfId="207" applyFont="1" applyFill="1" applyBorder="1" applyAlignment="1">
      <alignment horizontal="left" wrapText="1"/>
    </xf>
    <xf numFmtId="0" fontId="4" fillId="3" borderId="43" xfId="207" applyFont="1" applyFill="1" applyBorder="1" applyAlignment="1">
      <alignment horizontal="center" wrapText="1"/>
    </xf>
    <xf numFmtId="0" fontId="3" fillId="37" borderId="11" xfId="207" applyFont="1" applyFill="1" applyBorder="1" applyAlignment="1">
      <alignment horizontal="left" wrapText="1"/>
    </xf>
    <xf numFmtId="0" fontId="4" fillId="37" borderId="43" xfId="207" applyFont="1" applyFill="1" applyBorder="1" applyAlignment="1">
      <alignment horizontal="center" wrapText="1"/>
    </xf>
    <xf numFmtId="168" fontId="10" fillId="36" borderId="44" xfId="207" applyNumberFormat="1" applyFont="1" applyFill="1" applyBorder="1" applyAlignment="1">
      <alignment horizontal="center" wrapText="1"/>
    </xf>
    <xf numFmtId="168" fontId="10" fillId="36" borderId="46" xfId="207" applyNumberFormat="1" applyFont="1" applyFill="1" applyBorder="1" applyAlignment="1">
      <alignment horizontal="center" wrapText="1"/>
    </xf>
    <xf numFmtId="0" fontId="13" fillId="0" borderId="0" xfId="43" applyBorder="1" applyAlignment="1" applyProtection="1">
      <alignment horizontal="center" vertical="center" textRotation="90"/>
    </xf>
    <xf numFmtId="0" fontId="15" fillId="0" borderId="0" xfId="0" applyFont="1" applyBorder="1" applyAlignment="1">
      <alignment horizontal="center" vertical="center" textRotation="90"/>
    </xf>
    <xf numFmtId="0" fontId="15" fillId="0" borderId="23" xfId="0" applyFont="1" applyBorder="1" applyAlignment="1">
      <alignment horizontal="center" vertical="center" textRotation="90"/>
    </xf>
    <xf numFmtId="0" fontId="13" fillId="0" borderId="9" xfId="43" applyBorder="1" applyAlignment="1" applyProtection="1">
      <alignment horizontal="center" vertical="center" textRotation="90"/>
    </xf>
  </cellXfs>
  <cellStyles count="248">
    <cellStyle name="20% - Accent1 2" xfId="163"/>
    <cellStyle name="20% - Accent2 2" xfId="164"/>
    <cellStyle name="20% - Accent3 2" xfId="165"/>
    <cellStyle name="20% - Accent4 2" xfId="166"/>
    <cellStyle name="20% - Accent5 2" xfId="167"/>
    <cellStyle name="20% - Accent6 2" xfId="168"/>
    <cellStyle name="2x indented GHG Textfiels" xfId="169"/>
    <cellStyle name="40% - Accent1 2" xfId="170"/>
    <cellStyle name="40% - Accent2 2" xfId="171"/>
    <cellStyle name="40% - Accent3 2" xfId="172"/>
    <cellStyle name="40% - Accent4 2" xfId="173"/>
    <cellStyle name="40% - Accent5 2" xfId="174"/>
    <cellStyle name="40% - Accent6 2" xfId="175"/>
    <cellStyle name="5x indented GHG Textfiels" xfId="176"/>
    <cellStyle name="60% - Accent1 2" xfId="177"/>
    <cellStyle name="60% - Accent2 2" xfId="178"/>
    <cellStyle name="60% - Accent3 2" xfId="179"/>
    <cellStyle name="60% - Accent4 2" xfId="180"/>
    <cellStyle name="60% - Accent5 2" xfId="181"/>
    <cellStyle name="60% - Accent6 2" xfId="182"/>
    <cellStyle name="Accent1 2" xfId="183"/>
    <cellStyle name="Accent2 2" xfId="184"/>
    <cellStyle name="Accent3 2" xfId="185"/>
    <cellStyle name="Accent4 2" xfId="186"/>
    <cellStyle name="Accent5 2" xfId="187"/>
    <cellStyle name="Accent6 2" xfId="188"/>
    <cellStyle name="Bad 2" xfId="189"/>
    <cellStyle name="Bold GHG Numbers (0.00)" xfId="190"/>
    <cellStyle name="Calculation 2" xfId="191"/>
    <cellStyle name="Check Cell 2" xfId="192"/>
    <cellStyle name="Comma" xfId="1" builtinId="3"/>
    <cellStyle name="Comma 2" xfId="193"/>
    <cellStyle name="Comma 2 2" xfId="194"/>
    <cellStyle name="Comma 3" xfId="195"/>
    <cellStyle name="Comma 4" xfId="196"/>
    <cellStyle name="Explanatory Text 2" xfId="197"/>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Followed Hyperlink" xfId="130" builtinId="9" hidden="1"/>
    <cellStyle name="Followed Hyperlink" xfId="131" builtinId="9" hidden="1"/>
    <cellStyle name="Followed Hyperlink" xfId="132" builtinId="9" hidden="1"/>
    <cellStyle name="Followed Hyperlink" xfId="133" builtinId="9" hidden="1"/>
    <cellStyle name="Followed Hyperlink" xfId="134"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Good 2" xfId="198"/>
    <cellStyle name="Heading 1 2" xfId="199"/>
    <cellStyle name="Heading 2 2" xfId="200"/>
    <cellStyle name="Heading 3 2" xfId="201"/>
    <cellStyle name="Heading 4 2" xfId="202"/>
    <cellStyle name="Headline" xfId="203"/>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cellStyle name="Hyperlink 2" xfId="43"/>
    <cellStyle name="Input 2" xfId="204"/>
    <cellStyle name="Linked Cell 2" xfId="205"/>
    <cellStyle name="Neutral 2" xfId="206"/>
    <cellStyle name="Normal" xfId="0" builtinId="0"/>
    <cellStyle name="Normal 10" xfId="207"/>
    <cellStyle name="Normal 11" xfId="208"/>
    <cellStyle name="Normal 12" xfId="209"/>
    <cellStyle name="Normal 13" xfId="210"/>
    <cellStyle name="Normal 14" xfId="211"/>
    <cellStyle name="Normal 15" xfId="212"/>
    <cellStyle name="Normal 16" xfId="213"/>
    <cellStyle name="Normal 17" xfId="214"/>
    <cellStyle name="Normal 18" xfId="215"/>
    <cellStyle name="Normal 2" xfId="44"/>
    <cellStyle name="Normal 3" xfId="162"/>
    <cellStyle name="Normal 4" xfId="46"/>
    <cellStyle name="Normal 4 2" xfId="216"/>
    <cellStyle name="Normal 4_Fuel_Prod_TS" xfId="217"/>
    <cellStyle name="Normal 5" xfId="218"/>
    <cellStyle name="Normal 6" xfId="219"/>
    <cellStyle name="Normal 7" xfId="220"/>
    <cellStyle name="Normal 8" xfId="221"/>
    <cellStyle name="Normal 9" xfId="222"/>
    <cellStyle name="Normal GHG Numbers (0.00)" xfId="223"/>
    <cellStyle name="Normal GHG Textfiels Bold" xfId="224"/>
    <cellStyle name="Normal GHG whole table" xfId="225"/>
    <cellStyle name="Normal GHG-Shade" xfId="226"/>
    <cellStyle name="Normal_Fluids" xfId="6"/>
    <cellStyle name="Normal_Steel" xfId="4"/>
    <cellStyle name="Normal_Veh_lbs" xfId="5"/>
    <cellStyle name="Normal_Veh_Sum" xfId="3"/>
    <cellStyle name="Normal_Well to Wheel Results 2015" xfId="29"/>
    <cellStyle name="Note 2" xfId="227"/>
    <cellStyle name="Output 2" xfId="228"/>
    <cellStyle name="Pattern" xfId="229"/>
    <cellStyle name="Percent" xfId="2" builtinId="5"/>
    <cellStyle name="Percent 2" xfId="45"/>
    <cellStyle name="Percent 3" xfId="230"/>
    <cellStyle name="Percent 4" xfId="231"/>
    <cellStyle name="Percent 5" xfId="247"/>
    <cellStyle name="Plain" xfId="232"/>
    <cellStyle name="Scientific" xfId="233"/>
    <cellStyle name="Title 2" xfId="234"/>
    <cellStyle name="Total 2" xfId="235"/>
    <cellStyle name="Warning Text 2" xfId="23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sz="1600"/>
              <a:t>Private</a:t>
            </a:r>
            <a:r>
              <a:rPr lang="en-US" sz="1600" baseline="0"/>
              <a:t> and External </a:t>
            </a:r>
            <a:r>
              <a:rPr lang="en-US" sz="1600"/>
              <a:t>Costs of Transportation Choices</a:t>
            </a:r>
          </a:p>
        </c:rich>
      </c:tx>
      <c:layout>
        <c:manualLayout>
          <c:xMode val="edge"/>
          <c:yMode val="edge"/>
          <c:x val="0.17181760166987389"/>
          <c:y val="2.9048656499636887E-2"/>
        </c:manualLayout>
      </c:layout>
    </c:title>
    <c:plotArea>
      <c:layout>
        <c:manualLayout>
          <c:layoutTarget val="inner"/>
          <c:xMode val="edge"/>
          <c:yMode val="edge"/>
          <c:x val="0.15073227049254848"/>
          <c:y val="0.14256371548327701"/>
          <c:w val="0.79435284757444902"/>
          <c:h val="0.58750907770515559"/>
        </c:manualLayout>
      </c:layout>
      <c:barChart>
        <c:barDir val="col"/>
        <c:grouping val="stacked"/>
        <c:ser>
          <c:idx val="0"/>
          <c:order val="0"/>
          <c:tx>
            <c:strRef>
              <c:f>'Table 1 and Figure'!$E$3</c:f>
              <c:strCache>
                <c:ptCount val="1"/>
                <c:pt idx="0">
                  <c:v>Vehicle Base Price</c:v>
                </c:pt>
              </c:strCache>
            </c:strRef>
          </c:tx>
          <c:spPr>
            <a:ln>
              <a:solidFill>
                <a:prstClr val="black"/>
              </a:solidFill>
            </a:ln>
          </c:spPr>
          <c:cat>
            <c:strRef>
              <c:f>'Table 1 and Figure'!$B$4:$B$9</c:f>
              <c:strCache>
                <c:ptCount val="6"/>
                <c:pt idx="0">
                  <c:v>Compressed Natural Gas</c:v>
                </c:pt>
                <c:pt idx="1">
                  <c:v>Hybrid Electric</c:v>
                </c:pt>
                <c:pt idx="2">
                  <c:v>Conventional Gasoline</c:v>
                </c:pt>
                <c:pt idx="3">
                  <c:v>Ethanol (E85)</c:v>
                </c:pt>
                <c:pt idx="4">
                  <c:v>Electric</c:v>
                </c:pt>
                <c:pt idx="5">
                  <c:v>Hydrogen Fuel Cell</c:v>
                </c:pt>
              </c:strCache>
            </c:strRef>
          </c:cat>
          <c:val>
            <c:numRef>
              <c:f>'Table 1 and Figure'!$E$4:$E$9</c:f>
              <c:numCache>
                <c:formatCode>#,##0</c:formatCode>
                <c:ptCount val="6"/>
                <c:pt idx="0">
                  <c:v>27173.272376724704</c:v>
                </c:pt>
                <c:pt idx="1">
                  <c:v>26065.748148913644</c:v>
                </c:pt>
                <c:pt idx="2">
                  <c:v>21820.563015599178</c:v>
                </c:pt>
                <c:pt idx="3">
                  <c:v>24586.453925475318</c:v>
                </c:pt>
                <c:pt idx="4">
                  <c:v>41585.685636526148</c:v>
                </c:pt>
                <c:pt idx="5">
                  <c:v>48660.994192050261</c:v>
                </c:pt>
              </c:numCache>
            </c:numRef>
          </c:val>
        </c:ser>
        <c:ser>
          <c:idx val="1"/>
          <c:order val="1"/>
          <c:tx>
            <c:strRef>
              <c:f>'Table 1 and Figure'!$F$3</c:f>
              <c:strCache>
                <c:ptCount val="1"/>
              </c:strCache>
            </c:strRef>
          </c:tx>
          <c:cat>
            <c:strRef>
              <c:f>'Table 1 and Figure'!$B$4:$B$9</c:f>
              <c:strCache>
                <c:ptCount val="6"/>
                <c:pt idx="0">
                  <c:v>Compressed Natural Gas</c:v>
                </c:pt>
                <c:pt idx="1">
                  <c:v>Hybrid Electric</c:v>
                </c:pt>
                <c:pt idx="2">
                  <c:v>Conventional Gasoline</c:v>
                </c:pt>
                <c:pt idx="3">
                  <c:v>Ethanol (E85)</c:v>
                </c:pt>
                <c:pt idx="4">
                  <c:v>Electric</c:v>
                </c:pt>
                <c:pt idx="5">
                  <c:v>Hydrogen Fuel Cell</c:v>
                </c:pt>
              </c:strCache>
            </c:strRef>
          </c:cat>
          <c:val>
            <c:numRef>
              <c:f>'Table 1 and Figure'!$F$4:$F$9</c:f>
              <c:numCache>
                <c:formatCode>General</c:formatCode>
                <c:ptCount val="6"/>
              </c:numCache>
            </c:numRef>
          </c:val>
        </c:ser>
        <c:ser>
          <c:idx val="2"/>
          <c:order val="2"/>
          <c:tx>
            <c:strRef>
              <c:f>'Table 1 and Figure'!$G$3</c:f>
              <c:strCache>
                <c:ptCount val="1"/>
                <c:pt idx="0">
                  <c:v>Fuel Costs</c:v>
                </c:pt>
              </c:strCache>
            </c:strRef>
          </c:tx>
          <c:spPr>
            <a:ln>
              <a:solidFill>
                <a:prstClr val="black"/>
              </a:solidFill>
            </a:ln>
          </c:spPr>
          <c:cat>
            <c:strRef>
              <c:f>'Table 1 and Figure'!$B$4:$B$9</c:f>
              <c:strCache>
                <c:ptCount val="6"/>
                <c:pt idx="0">
                  <c:v>Compressed Natural Gas</c:v>
                </c:pt>
                <c:pt idx="1">
                  <c:v>Hybrid Electric</c:v>
                </c:pt>
                <c:pt idx="2">
                  <c:v>Conventional Gasoline</c:v>
                </c:pt>
                <c:pt idx="3">
                  <c:v>Ethanol (E85)</c:v>
                </c:pt>
                <c:pt idx="4">
                  <c:v>Electric</c:v>
                </c:pt>
                <c:pt idx="5">
                  <c:v>Hydrogen Fuel Cell</c:v>
                </c:pt>
              </c:strCache>
            </c:strRef>
          </c:cat>
          <c:val>
            <c:numRef>
              <c:f>'Table 1 and Figure'!$G$4:$G$9</c:f>
              <c:numCache>
                <c:formatCode>#,##0</c:formatCode>
                <c:ptCount val="6"/>
                <c:pt idx="0">
                  <c:v>9516.4351212012516</c:v>
                </c:pt>
                <c:pt idx="1">
                  <c:v>11077.296428303713</c:v>
                </c:pt>
                <c:pt idx="2">
                  <c:v>15508.214999625197</c:v>
                </c:pt>
                <c:pt idx="3">
                  <c:v>20432.188308111534</c:v>
                </c:pt>
                <c:pt idx="4">
                  <c:v>4616.61699330587</c:v>
                </c:pt>
                <c:pt idx="5">
                  <c:v>6785.1441931769477</c:v>
                </c:pt>
              </c:numCache>
            </c:numRef>
          </c:val>
        </c:ser>
        <c:ser>
          <c:idx val="3"/>
          <c:order val="3"/>
          <c:tx>
            <c:strRef>
              <c:f>'Table 1 and Figure'!$H$3</c:f>
              <c:strCache>
                <c:ptCount val="1"/>
                <c:pt idx="0">
                  <c:v>Non-Carbon Pollution Costs</c:v>
                </c:pt>
              </c:strCache>
            </c:strRef>
          </c:tx>
          <c:spPr>
            <a:ln>
              <a:solidFill>
                <a:prstClr val="black"/>
              </a:solidFill>
            </a:ln>
          </c:spPr>
          <c:cat>
            <c:strRef>
              <c:f>'Table 1 and Figure'!$B$4:$B$9</c:f>
              <c:strCache>
                <c:ptCount val="6"/>
                <c:pt idx="0">
                  <c:v>Compressed Natural Gas</c:v>
                </c:pt>
                <c:pt idx="1">
                  <c:v>Hybrid Electric</c:v>
                </c:pt>
                <c:pt idx="2">
                  <c:v>Conventional Gasoline</c:v>
                </c:pt>
                <c:pt idx="3">
                  <c:v>Ethanol (E85)</c:v>
                </c:pt>
                <c:pt idx="4">
                  <c:v>Electric</c:v>
                </c:pt>
                <c:pt idx="5">
                  <c:v>Hydrogen Fuel Cell</c:v>
                </c:pt>
              </c:strCache>
            </c:strRef>
          </c:cat>
          <c:val>
            <c:numRef>
              <c:f>'Table 1 and Figure'!$H$4:$H$9</c:f>
              <c:numCache>
                <c:formatCode>0</c:formatCode>
                <c:ptCount val="6"/>
                <c:pt idx="0">
                  <c:v>1763.1355348343764</c:v>
                </c:pt>
                <c:pt idx="1">
                  <c:v>1780.541847583102</c:v>
                </c:pt>
                <c:pt idx="2">
                  <c:v>1904.1805762716026</c:v>
                </c:pt>
                <c:pt idx="3">
                  <c:v>2127.2731887932864</c:v>
                </c:pt>
                <c:pt idx="4">
                  <c:v>3041.5371328344149</c:v>
                </c:pt>
                <c:pt idx="5">
                  <c:v>1784.2979738676013</c:v>
                </c:pt>
              </c:numCache>
            </c:numRef>
          </c:val>
        </c:ser>
        <c:ser>
          <c:idx val="4"/>
          <c:order val="4"/>
          <c:tx>
            <c:strRef>
              <c:f>'Table 1 and Figure'!$I$3</c:f>
              <c:strCache>
                <c:ptCount val="1"/>
                <c:pt idx="0">
                  <c:v>Carbon Costs</c:v>
                </c:pt>
              </c:strCache>
            </c:strRef>
          </c:tx>
          <c:spPr>
            <a:ln>
              <a:solidFill>
                <a:prstClr val="black"/>
              </a:solidFill>
            </a:ln>
          </c:spPr>
          <c:cat>
            <c:strRef>
              <c:f>'Table 1 and Figure'!$B$4:$B$9</c:f>
              <c:strCache>
                <c:ptCount val="6"/>
                <c:pt idx="0">
                  <c:v>Compressed Natural Gas</c:v>
                </c:pt>
                <c:pt idx="1">
                  <c:v>Hybrid Electric</c:v>
                </c:pt>
                <c:pt idx="2">
                  <c:v>Conventional Gasoline</c:v>
                </c:pt>
                <c:pt idx="3">
                  <c:v>Ethanol (E85)</c:v>
                </c:pt>
                <c:pt idx="4">
                  <c:v>Electric</c:v>
                </c:pt>
                <c:pt idx="5">
                  <c:v>Hydrogen Fuel Cell</c:v>
                </c:pt>
              </c:strCache>
            </c:strRef>
          </c:cat>
          <c:val>
            <c:numRef>
              <c:f>'Table 1 and Figure'!$I$4:$I$9</c:f>
              <c:numCache>
                <c:formatCode>0</c:formatCode>
                <c:ptCount val="6"/>
                <c:pt idx="0">
                  <c:v>1221.9433471013865</c:v>
                </c:pt>
                <c:pt idx="1">
                  <c:v>1098.003098523202</c:v>
                </c:pt>
                <c:pt idx="2">
                  <c:v>1469.8239467554667</c:v>
                </c:pt>
                <c:pt idx="3">
                  <c:v>913.53992848264693</c:v>
                </c:pt>
                <c:pt idx="4">
                  <c:v>1219.2376662749648</c:v>
                </c:pt>
                <c:pt idx="5">
                  <c:v>1004.1356516685703</c:v>
                </c:pt>
              </c:numCache>
            </c:numRef>
          </c:val>
        </c:ser>
        <c:ser>
          <c:idx val="5"/>
          <c:order val="5"/>
          <c:tx>
            <c:strRef>
              <c:f>'Table 1 and Figure'!$J$3</c:f>
              <c:strCache>
                <c:ptCount val="1"/>
                <c:pt idx="0">
                  <c:v>Energy Security</c:v>
                </c:pt>
              </c:strCache>
            </c:strRef>
          </c:tx>
          <c:spPr>
            <a:ln>
              <a:solidFill>
                <a:prstClr val="black"/>
              </a:solidFill>
            </a:ln>
          </c:spPr>
          <c:cat>
            <c:strRef>
              <c:f>'Table 1 and Figure'!$B$4:$B$9</c:f>
              <c:strCache>
                <c:ptCount val="6"/>
                <c:pt idx="0">
                  <c:v>Compressed Natural Gas</c:v>
                </c:pt>
                <c:pt idx="1">
                  <c:v>Hybrid Electric</c:v>
                </c:pt>
                <c:pt idx="2">
                  <c:v>Conventional Gasoline</c:v>
                </c:pt>
                <c:pt idx="3">
                  <c:v>Ethanol (E85)</c:v>
                </c:pt>
                <c:pt idx="4">
                  <c:v>Electric</c:v>
                </c:pt>
                <c:pt idx="5">
                  <c:v>Hydrogen Fuel Cell</c:v>
                </c:pt>
              </c:strCache>
            </c:strRef>
          </c:cat>
          <c:val>
            <c:numRef>
              <c:f>'Table 1 and Figure'!$J$4:$J$9</c:f>
              <c:numCache>
                <c:formatCode>0</c:formatCode>
                <c:ptCount val="6"/>
                <c:pt idx="0" formatCode="General">
                  <c:v>0</c:v>
                </c:pt>
                <c:pt idx="1">
                  <c:v>298.02125325607699</c:v>
                </c:pt>
                <c:pt idx="2">
                  <c:v>417.22975455850781</c:v>
                </c:pt>
                <c:pt idx="3">
                  <c:v>62.584463183776172</c:v>
                </c:pt>
                <c:pt idx="4" formatCode="General">
                  <c:v>0</c:v>
                </c:pt>
                <c:pt idx="5" formatCode="General">
                  <c:v>0</c:v>
                </c:pt>
              </c:numCache>
            </c:numRef>
          </c:val>
        </c:ser>
        <c:gapWidth val="75"/>
        <c:overlap val="100"/>
        <c:axId val="96953472"/>
        <c:axId val="96955008"/>
      </c:barChart>
      <c:catAx>
        <c:axId val="96953472"/>
        <c:scaling>
          <c:orientation val="minMax"/>
        </c:scaling>
        <c:axPos val="b"/>
        <c:majorTickMark val="none"/>
        <c:tickLblPos val="nextTo"/>
        <c:crossAx val="96955008"/>
        <c:crosses val="autoZero"/>
        <c:auto val="1"/>
        <c:lblAlgn val="ctr"/>
        <c:lblOffset val="100"/>
      </c:catAx>
      <c:valAx>
        <c:axId val="96955008"/>
        <c:scaling>
          <c:orientation val="minMax"/>
        </c:scaling>
        <c:axPos val="l"/>
        <c:majorGridlines/>
        <c:title>
          <c:tx>
            <c:rich>
              <a:bodyPr rot="-5400000" vert="horz"/>
              <a:lstStyle/>
              <a:p>
                <a:pPr>
                  <a:defRPr/>
                </a:pPr>
                <a:r>
                  <a:rPr lang="en-US"/>
                  <a:t>Lifetime</a:t>
                </a:r>
                <a:r>
                  <a:rPr lang="en-US" baseline="0"/>
                  <a:t> Costs ($2010)</a:t>
                </a:r>
                <a:endParaRPr lang="en-US"/>
              </a:p>
            </c:rich>
          </c:tx>
          <c:layout>
            <c:manualLayout>
              <c:xMode val="edge"/>
              <c:yMode val="edge"/>
              <c:x val="8.1824038881466582E-3"/>
              <c:y val="0.29370387525088937"/>
            </c:manualLayout>
          </c:layout>
        </c:title>
        <c:numFmt formatCode="&quot;$&quot;#,##0" sourceLinked="0"/>
        <c:majorTickMark val="none"/>
        <c:tickLblPos val="nextTo"/>
        <c:spPr>
          <a:ln w="9525">
            <a:noFill/>
          </a:ln>
        </c:spPr>
        <c:crossAx val="96953472"/>
        <c:crosses val="autoZero"/>
        <c:crossBetween val="between"/>
      </c:valAx>
    </c:plotArea>
    <c:legend>
      <c:legendPos val="b"/>
      <c:legendEntry>
        <c:idx val="1"/>
        <c:delete val="1"/>
      </c:legendEntry>
      <c:layout>
        <c:manualLayout>
          <c:xMode val="edge"/>
          <c:yMode val="edge"/>
          <c:x val="6.7794021628680687E-2"/>
          <c:y val="0.84410798323412262"/>
          <c:w val="0.89999991351987663"/>
          <c:h val="5.2528433945757021E-2"/>
        </c:manualLayout>
      </c:layout>
    </c:legend>
    <c:plotVisOnly val="1"/>
    <c:dispBlanksAs val="gap"/>
  </c:chart>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External Costs of Transportation Use</a:t>
            </a:r>
          </a:p>
        </c:rich>
      </c:tx>
      <c:layout>
        <c:manualLayout>
          <c:xMode val="edge"/>
          <c:yMode val="edge"/>
          <c:x val="0.21460812544063101"/>
          <c:y val="2.3238925199709552E-2"/>
        </c:manualLayout>
      </c:layout>
    </c:title>
    <c:plotArea>
      <c:layout>
        <c:manualLayout>
          <c:layoutTarget val="inner"/>
          <c:xMode val="edge"/>
          <c:yMode val="edge"/>
          <c:x val="0.15073227049254848"/>
          <c:y val="0.14256371548327701"/>
          <c:w val="0.79435284757444902"/>
          <c:h val="0.58750907770515559"/>
        </c:manualLayout>
      </c:layout>
      <c:barChart>
        <c:barDir val="col"/>
        <c:grouping val="stacked"/>
        <c:ser>
          <c:idx val="1"/>
          <c:order val="0"/>
          <c:tx>
            <c:strRef>
              <c:f>'Table 1 and Figure'!$F$3</c:f>
              <c:strCache>
                <c:ptCount val="1"/>
              </c:strCache>
            </c:strRef>
          </c:tx>
          <c:cat>
            <c:strRef>
              <c:f>'Table 1 and Figure'!$B$4:$B$9</c:f>
              <c:strCache>
                <c:ptCount val="6"/>
                <c:pt idx="0">
                  <c:v>Compressed Natural Gas</c:v>
                </c:pt>
                <c:pt idx="1">
                  <c:v>Hybrid Electric</c:v>
                </c:pt>
                <c:pt idx="2">
                  <c:v>Conventional Gasoline</c:v>
                </c:pt>
                <c:pt idx="3">
                  <c:v>Ethanol (E85)</c:v>
                </c:pt>
                <c:pt idx="4">
                  <c:v>Electric</c:v>
                </c:pt>
                <c:pt idx="5">
                  <c:v>Hydrogen Fuel Cell</c:v>
                </c:pt>
              </c:strCache>
            </c:strRef>
          </c:cat>
          <c:val>
            <c:numRef>
              <c:f>'Table 1 and Figure'!$F$4:$F$9</c:f>
              <c:numCache>
                <c:formatCode>General</c:formatCode>
                <c:ptCount val="6"/>
              </c:numCache>
            </c:numRef>
          </c:val>
        </c:ser>
        <c:ser>
          <c:idx val="3"/>
          <c:order val="1"/>
          <c:tx>
            <c:strRef>
              <c:f>'Table 1 and Figure'!$H$3</c:f>
              <c:strCache>
                <c:ptCount val="1"/>
                <c:pt idx="0">
                  <c:v>Non-Carbon Pollution Costs</c:v>
                </c:pt>
              </c:strCache>
            </c:strRef>
          </c:tx>
          <c:spPr>
            <a:ln>
              <a:solidFill>
                <a:prstClr val="black"/>
              </a:solidFill>
            </a:ln>
          </c:spPr>
          <c:cat>
            <c:strRef>
              <c:f>'Table 1 and Figure'!$B$4:$B$9</c:f>
              <c:strCache>
                <c:ptCount val="6"/>
                <c:pt idx="0">
                  <c:v>Compressed Natural Gas</c:v>
                </c:pt>
                <c:pt idx="1">
                  <c:v>Hybrid Electric</c:v>
                </c:pt>
                <c:pt idx="2">
                  <c:v>Conventional Gasoline</c:v>
                </c:pt>
                <c:pt idx="3">
                  <c:v>Ethanol (E85)</c:v>
                </c:pt>
                <c:pt idx="4">
                  <c:v>Electric</c:v>
                </c:pt>
                <c:pt idx="5">
                  <c:v>Hydrogen Fuel Cell</c:v>
                </c:pt>
              </c:strCache>
            </c:strRef>
          </c:cat>
          <c:val>
            <c:numRef>
              <c:f>'Table 1 and Figure'!$H$4:$H$9</c:f>
              <c:numCache>
                <c:formatCode>0</c:formatCode>
                <c:ptCount val="6"/>
                <c:pt idx="0">
                  <c:v>1763.1355348343764</c:v>
                </c:pt>
                <c:pt idx="1">
                  <c:v>1780.541847583102</c:v>
                </c:pt>
                <c:pt idx="2">
                  <c:v>1904.1805762716026</c:v>
                </c:pt>
                <c:pt idx="3">
                  <c:v>2127.2731887932864</c:v>
                </c:pt>
                <c:pt idx="4">
                  <c:v>3041.5371328344149</c:v>
                </c:pt>
                <c:pt idx="5">
                  <c:v>1784.2979738676013</c:v>
                </c:pt>
              </c:numCache>
            </c:numRef>
          </c:val>
        </c:ser>
        <c:ser>
          <c:idx val="4"/>
          <c:order val="2"/>
          <c:tx>
            <c:strRef>
              <c:f>'Table 1 and Figure'!$I$3</c:f>
              <c:strCache>
                <c:ptCount val="1"/>
                <c:pt idx="0">
                  <c:v>Carbon Costs</c:v>
                </c:pt>
              </c:strCache>
            </c:strRef>
          </c:tx>
          <c:spPr>
            <a:ln>
              <a:solidFill>
                <a:prstClr val="black"/>
              </a:solidFill>
            </a:ln>
          </c:spPr>
          <c:cat>
            <c:strRef>
              <c:f>'Table 1 and Figure'!$B$4:$B$9</c:f>
              <c:strCache>
                <c:ptCount val="6"/>
                <c:pt idx="0">
                  <c:v>Compressed Natural Gas</c:v>
                </c:pt>
                <c:pt idx="1">
                  <c:v>Hybrid Electric</c:v>
                </c:pt>
                <c:pt idx="2">
                  <c:v>Conventional Gasoline</c:v>
                </c:pt>
                <c:pt idx="3">
                  <c:v>Ethanol (E85)</c:v>
                </c:pt>
                <c:pt idx="4">
                  <c:v>Electric</c:v>
                </c:pt>
                <c:pt idx="5">
                  <c:v>Hydrogen Fuel Cell</c:v>
                </c:pt>
              </c:strCache>
            </c:strRef>
          </c:cat>
          <c:val>
            <c:numRef>
              <c:f>'Table 1 and Figure'!$I$4:$I$9</c:f>
              <c:numCache>
                <c:formatCode>0</c:formatCode>
                <c:ptCount val="6"/>
                <c:pt idx="0">
                  <c:v>1221.9433471013865</c:v>
                </c:pt>
                <c:pt idx="1">
                  <c:v>1098.003098523202</c:v>
                </c:pt>
                <c:pt idx="2">
                  <c:v>1469.8239467554667</c:v>
                </c:pt>
                <c:pt idx="3">
                  <c:v>913.53992848264693</c:v>
                </c:pt>
                <c:pt idx="4">
                  <c:v>1219.2376662749648</c:v>
                </c:pt>
                <c:pt idx="5">
                  <c:v>1004.1356516685703</c:v>
                </c:pt>
              </c:numCache>
            </c:numRef>
          </c:val>
        </c:ser>
        <c:ser>
          <c:idx val="5"/>
          <c:order val="3"/>
          <c:tx>
            <c:strRef>
              <c:f>'Table 1 and Figure'!$J$3</c:f>
              <c:strCache>
                <c:ptCount val="1"/>
                <c:pt idx="0">
                  <c:v>Energy Security</c:v>
                </c:pt>
              </c:strCache>
            </c:strRef>
          </c:tx>
          <c:spPr>
            <a:ln>
              <a:solidFill>
                <a:prstClr val="black"/>
              </a:solidFill>
            </a:ln>
          </c:spPr>
          <c:cat>
            <c:strRef>
              <c:f>'Table 1 and Figure'!$B$4:$B$9</c:f>
              <c:strCache>
                <c:ptCount val="6"/>
                <c:pt idx="0">
                  <c:v>Compressed Natural Gas</c:v>
                </c:pt>
                <c:pt idx="1">
                  <c:v>Hybrid Electric</c:v>
                </c:pt>
                <c:pt idx="2">
                  <c:v>Conventional Gasoline</c:v>
                </c:pt>
                <c:pt idx="3">
                  <c:v>Ethanol (E85)</c:v>
                </c:pt>
                <c:pt idx="4">
                  <c:v>Electric</c:v>
                </c:pt>
                <c:pt idx="5">
                  <c:v>Hydrogen Fuel Cell</c:v>
                </c:pt>
              </c:strCache>
            </c:strRef>
          </c:cat>
          <c:val>
            <c:numRef>
              <c:f>'Table 1 and Figure'!$J$4:$J$9</c:f>
              <c:numCache>
                <c:formatCode>0</c:formatCode>
                <c:ptCount val="6"/>
                <c:pt idx="0" formatCode="General">
                  <c:v>0</c:v>
                </c:pt>
                <c:pt idx="1">
                  <c:v>298.02125325607699</c:v>
                </c:pt>
                <c:pt idx="2">
                  <c:v>417.22975455850781</c:v>
                </c:pt>
                <c:pt idx="3">
                  <c:v>62.584463183776172</c:v>
                </c:pt>
                <c:pt idx="4" formatCode="General">
                  <c:v>0</c:v>
                </c:pt>
                <c:pt idx="5" formatCode="General">
                  <c:v>0</c:v>
                </c:pt>
              </c:numCache>
            </c:numRef>
          </c:val>
        </c:ser>
        <c:gapWidth val="75"/>
        <c:overlap val="100"/>
        <c:axId val="84239872"/>
        <c:axId val="84241408"/>
      </c:barChart>
      <c:catAx>
        <c:axId val="84239872"/>
        <c:scaling>
          <c:orientation val="minMax"/>
        </c:scaling>
        <c:axPos val="b"/>
        <c:majorTickMark val="none"/>
        <c:tickLblPos val="nextTo"/>
        <c:crossAx val="84241408"/>
        <c:crosses val="autoZero"/>
        <c:auto val="1"/>
        <c:lblAlgn val="ctr"/>
        <c:lblOffset val="100"/>
      </c:catAx>
      <c:valAx>
        <c:axId val="84241408"/>
        <c:scaling>
          <c:orientation val="minMax"/>
        </c:scaling>
        <c:axPos val="l"/>
        <c:majorGridlines/>
        <c:title>
          <c:tx>
            <c:rich>
              <a:bodyPr rot="-5400000" vert="horz"/>
              <a:lstStyle/>
              <a:p>
                <a:pPr>
                  <a:defRPr/>
                </a:pPr>
                <a:r>
                  <a:rPr lang="en-US"/>
                  <a:t>Lifetime</a:t>
                </a:r>
                <a:r>
                  <a:rPr lang="en-US" baseline="0"/>
                  <a:t> Costs ($2010)</a:t>
                </a:r>
                <a:endParaRPr lang="en-US"/>
              </a:p>
            </c:rich>
          </c:tx>
          <c:layout>
            <c:manualLayout>
              <c:xMode val="edge"/>
              <c:yMode val="edge"/>
              <c:x val="8.1824038881466582E-3"/>
              <c:y val="0.29370387525088937"/>
            </c:manualLayout>
          </c:layout>
        </c:title>
        <c:numFmt formatCode="&quot;$&quot;#,##0" sourceLinked="0"/>
        <c:majorTickMark val="none"/>
        <c:tickLblPos val="nextTo"/>
        <c:spPr>
          <a:ln w="9525">
            <a:noFill/>
          </a:ln>
        </c:spPr>
        <c:crossAx val="84239872"/>
        <c:crosses val="autoZero"/>
        <c:crossBetween val="between"/>
      </c:valAx>
    </c:plotArea>
    <c:legend>
      <c:legendPos val="b"/>
      <c:legendEntry>
        <c:idx val="0"/>
        <c:delete val="1"/>
      </c:legendEntry>
      <c:layout>
        <c:manualLayout>
          <c:xMode val="edge"/>
          <c:yMode val="edge"/>
          <c:x val="6.7794021628680687E-2"/>
          <c:y val="0.84410798323412262"/>
          <c:w val="0.89999991351987663"/>
          <c:h val="5.2528433945757021E-2"/>
        </c:manualLayout>
      </c:layout>
    </c:legend>
    <c:plotVisOnly val="1"/>
    <c:dispBlanksAs val="gap"/>
  </c:chart>
  <c:printSettings>
    <c:headerFooter/>
    <c:pageMargins b="0.75000000000000189" l="0.70000000000000062" r="0.70000000000000062" t="0.75000000000000189"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Private Costs of Transportation Choices</a:t>
            </a:r>
          </a:p>
        </c:rich>
      </c:tx>
      <c:layout>
        <c:manualLayout>
          <c:xMode val="edge"/>
          <c:yMode val="edge"/>
          <c:x val="0.22515339721450087"/>
          <c:y val="2.9048684089586101E-2"/>
        </c:manualLayout>
      </c:layout>
    </c:title>
    <c:plotArea>
      <c:layout>
        <c:manualLayout>
          <c:layoutTarget val="inner"/>
          <c:xMode val="edge"/>
          <c:yMode val="edge"/>
          <c:x val="0.15073227049254848"/>
          <c:y val="0.14256371548327701"/>
          <c:w val="0.79435284757444902"/>
          <c:h val="0.58750907770515559"/>
        </c:manualLayout>
      </c:layout>
      <c:barChart>
        <c:barDir val="col"/>
        <c:grouping val="stacked"/>
        <c:ser>
          <c:idx val="0"/>
          <c:order val="0"/>
          <c:tx>
            <c:strRef>
              <c:f>'Table 1 and Figure'!$E$3</c:f>
              <c:strCache>
                <c:ptCount val="1"/>
                <c:pt idx="0">
                  <c:v>Vehicle Base Price</c:v>
                </c:pt>
              </c:strCache>
            </c:strRef>
          </c:tx>
          <c:spPr>
            <a:ln>
              <a:solidFill>
                <a:prstClr val="black"/>
              </a:solidFill>
            </a:ln>
          </c:spPr>
          <c:cat>
            <c:strRef>
              <c:f>'Table 1 and Figure'!$B$4:$B$9</c:f>
              <c:strCache>
                <c:ptCount val="6"/>
                <c:pt idx="0">
                  <c:v>Compressed Natural Gas</c:v>
                </c:pt>
                <c:pt idx="1">
                  <c:v>Hybrid Electric</c:v>
                </c:pt>
                <c:pt idx="2">
                  <c:v>Conventional Gasoline</c:v>
                </c:pt>
                <c:pt idx="3">
                  <c:v>Ethanol (E85)</c:v>
                </c:pt>
                <c:pt idx="4">
                  <c:v>Electric</c:v>
                </c:pt>
                <c:pt idx="5">
                  <c:v>Hydrogen Fuel Cell</c:v>
                </c:pt>
              </c:strCache>
            </c:strRef>
          </c:cat>
          <c:val>
            <c:numRef>
              <c:f>'Table 1 and Figure'!$E$4:$E$9</c:f>
              <c:numCache>
                <c:formatCode>#,##0</c:formatCode>
                <c:ptCount val="6"/>
                <c:pt idx="0">
                  <c:v>27173.272376724704</c:v>
                </c:pt>
                <c:pt idx="1">
                  <c:v>26065.748148913644</c:v>
                </c:pt>
                <c:pt idx="2">
                  <c:v>21820.563015599178</c:v>
                </c:pt>
                <c:pt idx="3">
                  <c:v>24586.453925475318</c:v>
                </c:pt>
                <c:pt idx="4">
                  <c:v>41585.685636526148</c:v>
                </c:pt>
                <c:pt idx="5">
                  <c:v>48660.994192050261</c:v>
                </c:pt>
              </c:numCache>
            </c:numRef>
          </c:val>
        </c:ser>
        <c:ser>
          <c:idx val="1"/>
          <c:order val="1"/>
          <c:tx>
            <c:strRef>
              <c:f>'Table 1 and Figure'!$F$3</c:f>
              <c:strCache>
                <c:ptCount val="1"/>
              </c:strCache>
            </c:strRef>
          </c:tx>
          <c:cat>
            <c:strRef>
              <c:f>'Table 1 and Figure'!$B$4:$B$9</c:f>
              <c:strCache>
                <c:ptCount val="6"/>
                <c:pt idx="0">
                  <c:v>Compressed Natural Gas</c:v>
                </c:pt>
                <c:pt idx="1">
                  <c:v>Hybrid Electric</c:v>
                </c:pt>
                <c:pt idx="2">
                  <c:v>Conventional Gasoline</c:v>
                </c:pt>
                <c:pt idx="3">
                  <c:v>Ethanol (E85)</c:v>
                </c:pt>
                <c:pt idx="4">
                  <c:v>Electric</c:v>
                </c:pt>
                <c:pt idx="5">
                  <c:v>Hydrogen Fuel Cell</c:v>
                </c:pt>
              </c:strCache>
            </c:strRef>
          </c:cat>
          <c:val>
            <c:numRef>
              <c:f>'Table 1 and Figure'!$F$4:$F$9</c:f>
              <c:numCache>
                <c:formatCode>General</c:formatCode>
                <c:ptCount val="6"/>
              </c:numCache>
            </c:numRef>
          </c:val>
        </c:ser>
        <c:ser>
          <c:idx val="2"/>
          <c:order val="2"/>
          <c:tx>
            <c:strRef>
              <c:f>'Table 1 and Figure'!$G$3</c:f>
              <c:strCache>
                <c:ptCount val="1"/>
                <c:pt idx="0">
                  <c:v>Fuel Costs</c:v>
                </c:pt>
              </c:strCache>
            </c:strRef>
          </c:tx>
          <c:spPr>
            <a:ln>
              <a:solidFill>
                <a:prstClr val="black"/>
              </a:solidFill>
            </a:ln>
          </c:spPr>
          <c:cat>
            <c:strRef>
              <c:f>'Table 1 and Figure'!$B$4:$B$9</c:f>
              <c:strCache>
                <c:ptCount val="6"/>
                <c:pt idx="0">
                  <c:v>Compressed Natural Gas</c:v>
                </c:pt>
                <c:pt idx="1">
                  <c:v>Hybrid Electric</c:v>
                </c:pt>
                <c:pt idx="2">
                  <c:v>Conventional Gasoline</c:v>
                </c:pt>
                <c:pt idx="3">
                  <c:v>Ethanol (E85)</c:v>
                </c:pt>
                <c:pt idx="4">
                  <c:v>Electric</c:v>
                </c:pt>
                <c:pt idx="5">
                  <c:v>Hydrogen Fuel Cell</c:v>
                </c:pt>
              </c:strCache>
            </c:strRef>
          </c:cat>
          <c:val>
            <c:numRef>
              <c:f>'Table 1 and Figure'!$G$4:$G$9</c:f>
              <c:numCache>
                <c:formatCode>#,##0</c:formatCode>
                <c:ptCount val="6"/>
                <c:pt idx="0">
                  <c:v>9516.4351212012516</c:v>
                </c:pt>
                <c:pt idx="1">
                  <c:v>11077.296428303713</c:v>
                </c:pt>
                <c:pt idx="2">
                  <c:v>15508.214999625197</c:v>
                </c:pt>
                <c:pt idx="3">
                  <c:v>20432.188308111534</c:v>
                </c:pt>
                <c:pt idx="4">
                  <c:v>4616.61699330587</c:v>
                </c:pt>
                <c:pt idx="5">
                  <c:v>6785.1441931769477</c:v>
                </c:pt>
              </c:numCache>
            </c:numRef>
          </c:val>
        </c:ser>
        <c:gapWidth val="75"/>
        <c:overlap val="100"/>
        <c:axId val="84275968"/>
        <c:axId val="84277504"/>
      </c:barChart>
      <c:catAx>
        <c:axId val="84275968"/>
        <c:scaling>
          <c:orientation val="minMax"/>
        </c:scaling>
        <c:axPos val="b"/>
        <c:majorTickMark val="none"/>
        <c:tickLblPos val="nextTo"/>
        <c:crossAx val="84277504"/>
        <c:crosses val="autoZero"/>
        <c:auto val="1"/>
        <c:lblAlgn val="ctr"/>
        <c:lblOffset val="100"/>
      </c:catAx>
      <c:valAx>
        <c:axId val="84277504"/>
        <c:scaling>
          <c:orientation val="minMax"/>
        </c:scaling>
        <c:axPos val="l"/>
        <c:majorGridlines/>
        <c:title>
          <c:tx>
            <c:rich>
              <a:bodyPr rot="-5400000" vert="horz"/>
              <a:lstStyle/>
              <a:p>
                <a:pPr>
                  <a:defRPr/>
                </a:pPr>
                <a:r>
                  <a:rPr lang="en-US"/>
                  <a:t>Lifetime</a:t>
                </a:r>
                <a:r>
                  <a:rPr lang="en-US" baseline="0"/>
                  <a:t> Costs ($2010)</a:t>
                </a:r>
                <a:endParaRPr lang="en-US"/>
              </a:p>
            </c:rich>
          </c:tx>
          <c:layout>
            <c:manualLayout>
              <c:xMode val="edge"/>
              <c:yMode val="edge"/>
              <c:x val="8.1824038881466582E-3"/>
              <c:y val="0.29370387525088937"/>
            </c:manualLayout>
          </c:layout>
        </c:title>
        <c:numFmt formatCode="&quot;$&quot;#,##0" sourceLinked="0"/>
        <c:majorTickMark val="none"/>
        <c:tickLblPos val="nextTo"/>
        <c:spPr>
          <a:ln w="9525">
            <a:noFill/>
          </a:ln>
        </c:spPr>
        <c:crossAx val="84275968"/>
        <c:crosses val="autoZero"/>
        <c:crossBetween val="between"/>
      </c:valAx>
    </c:plotArea>
    <c:legend>
      <c:legendPos val="b"/>
      <c:legendEntry>
        <c:idx val="1"/>
        <c:delete val="1"/>
      </c:legendEntry>
      <c:layout>
        <c:manualLayout>
          <c:xMode val="edge"/>
          <c:yMode val="edge"/>
          <c:x val="6.7794021628680687E-2"/>
          <c:y val="0.84410798323412262"/>
          <c:w val="0.89999991351987663"/>
          <c:h val="5.2528433945757021E-2"/>
        </c:manualLayout>
      </c:layout>
    </c:legend>
    <c:plotVisOnly val="1"/>
    <c:dispBlanksAs val="gap"/>
  </c:chart>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17806</xdr:colOff>
      <xdr:row>11</xdr:row>
      <xdr:rowOff>20015</xdr:rowOff>
    </xdr:from>
    <xdr:to>
      <xdr:col>7</xdr:col>
      <xdr:colOff>455956</xdr:colOff>
      <xdr:row>34</xdr:row>
      <xdr:rowOff>10490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40723</xdr:colOff>
      <xdr:row>35</xdr:row>
      <xdr:rowOff>170070</xdr:rowOff>
    </xdr:from>
    <xdr:to>
      <xdr:col>7</xdr:col>
      <xdr:colOff>478873</xdr:colOff>
      <xdr:row>58</xdr:row>
      <xdr:rowOff>160545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49696</xdr:colOff>
      <xdr:row>59</xdr:row>
      <xdr:rowOff>98839</xdr:rowOff>
    </xdr:from>
    <xdr:to>
      <xdr:col>7</xdr:col>
      <xdr:colOff>487846</xdr:colOff>
      <xdr:row>82</xdr:row>
      <xdr:rowOff>89314</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2466975</xdr:colOff>
      <xdr:row>3</xdr:row>
      <xdr:rowOff>133350</xdr:rowOff>
    </xdr:from>
    <xdr:to>
      <xdr:col>13</xdr:col>
      <xdr:colOff>238125</xdr:colOff>
      <xdr:row>22</xdr:row>
      <xdr:rowOff>38100</xdr:rowOff>
    </xdr:to>
    <xdr:pic>
      <xdr:nvPicPr>
        <xdr:cNvPr id="2049" name="Picture 1" descr="image002"/>
        <xdr:cNvPicPr>
          <a:picLocks noChangeAspect="1" noChangeArrowheads="1"/>
        </xdr:cNvPicPr>
      </xdr:nvPicPr>
      <xdr:blipFill>
        <a:blip xmlns:r="http://schemas.openxmlformats.org/officeDocument/2006/relationships" r:embed="rId1"/>
        <a:srcRect/>
        <a:stretch>
          <a:fillRect/>
        </a:stretch>
      </xdr:blipFill>
      <xdr:spPr bwMode="auto">
        <a:xfrm>
          <a:off x="6429375" y="723900"/>
          <a:ext cx="5495925" cy="35337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368300</xdr:colOff>
      <xdr:row>5</xdr:row>
      <xdr:rowOff>47625</xdr:rowOff>
    </xdr:from>
    <xdr:to>
      <xdr:col>21</xdr:col>
      <xdr:colOff>42553</xdr:colOff>
      <xdr:row>19</xdr:row>
      <xdr:rowOff>139422</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7359650" y="1019175"/>
          <a:ext cx="6760853" cy="3168372"/>
        </a:xfrm>
        <a:prstGeom prst="rect">
          <a:avLst/>
        </a:prstGeom>
        <a:noFill/>
      </xdr:spPr>
    </xdr:pic>
    <xdr:clientData/>
  </xdr:twoCellAnchor>
  <xdr:twoCellAnchor editAs="oneCell">
    <xdr:from>
      <xdr:col>9</xdr:col>
      <xdr:colOff>400049</xdr:colOff>
      <xdr:row>20</xdr:row>
      <xdr:rowOff>145342</xdr:rowOff>
    </xdr:from>
    <xdr:to>
      <xdr:col>18</xdr:col>
      <xdr:colOff>47624</xdr:colOff>
      <xdr:row>36</xdr:row>
      <xdr:rowOff>161925</xdr:rowOff>
    </xdr:to>
    <xdr:pic>
      <xdr:nvPicPr>
        <xdr:cNvPr id="4098" name="Picture 2"/>
        <xdr:cNvPicPr>
          <a:picLocks noChangeAspect="1" noChangeArrowheads="1"/>
        </xdr:cNvPicPr>
      </xdr:nvPicPr>
      <xdr:blipFill>
        <a:blip xmlns:r="http://schemas.openxmlformats.org/officeDocument/2006/relationships" r:embed="rId2"/>
        <a:srcRect/>
        <a:stretch>
          <a:fillRect/>
        </a:stretch>
      </xdr:blipFill>
      <xdr:spPr bwMode="auto">
        <a:xfrm>
          <a:off x="7839074" y="4574467"/>
          <a:ext cx="4962525" cy="3093158"/>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mu.edu/me/ddl/publications.html"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1.xml.rels><?xml version="1.0" encoding="UTF-8" standalone="yes"?>
<Relationships xmlns="http://schemas.openxmlformats.org/package/2006/relationships"><Relationship Id="rId2" Type="http://schemas.openxmlformats.org/officeDocument/2006/relationships/hyperlink" Target="http://www.eia.doe.gov/oiaf/aeo/aeoref_tab.html" TargetMode="External"/><Relationship Id="rId1" Type="http://schemas.openxmlformats.org/officeDocument/2006/relationships/hyperlink" Target="http://www.eia.doe.gov/aer/append_d.html"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205.254.135.7/electricity/monthly/epm_table_grapher.cfm?t=epmt_5_3" TargetMode="External"/><Relationship Id="rId1" Type="http://schemas.openxmlformats.org/officeDocument/2006/relationships/hyperlink" Target="http://www.afdc.energy.gov/afdc/pdfs/afpr_jan_12.pdf"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dimension ref="A2:C32"/>
  <sheetViews>
    <sheetView tabSelected="1" topLeftCell="A7" workbookViewId="0">
      <selection activeCell="M9" sqref="M9"/>
    </sheetView>
  </sheetViews>
  <sheetFormatPr defaultRowHeight="15"/>
  <cols>
    <col min="1" max="1" width="5.42578125" customWidth="1"/>
  </cols>
  <sheetData>
    <row r="2" spans="1:3" ht="18.75" thickBot="1">
      <c r="A2" s="378"/>
      <c r="B2" s="379" t="s">
        <v>2481</v>
      </c>
      <c r="C2" s="378"/>
    </row>
    <row r="3" spans="1:3">
      <c r="B3" s="380"/>
    </row>
    <row r="4" spans="1:3">
      <c r="B4" s="380" t="s">
        <v>2551</v>
      </c>
    </row>
    <row r="5" spans="1:3">
      <c r="B5" s="382" t="s">
        <v>2483</v>
      </c>
    </row>
    <row r="6" spans="1:3">
      <c r="B6" s="381" t="s">
        <v>2482</v>
      </c>
    </row>
    <row r="8" spans="1:3">
      <c r="B8" s="380" t="s">
        <v>2480</v>
      </c>
    </row>
    <row r="9" spans="1:3">
      <c r="B9" s="382" t="s">
        <v>2491</v>
      </c>
    </row>
    <row r="10" spans="1:3">
      <c r="B10" s="382" t="s">
        <v>2492</v>
      </c>
    </row>
    <row r="11" spans="1:3" ht="15" customHeight="1">
      <c r="A11" s="533" t="s">
        <v>2523</v>
      </c>
      <c r="B11" s="382" t="s">
        <v>2493</v>
      </c>
    </row>
    <row r="12" spans="1:3">
      <c r="A12" s="533"/>
      <c r="B12" s="382" t="s">
        <v>2494</v>
      </c>
    </row>
    <row r="13" spans="1:3">
      <c r="A13" s="533"/>
      <c r="B13" s="382" t="s">
        <v>2495</v>
      </c>
    </row>
    <row r="14" spans="1:3">
      <c r="A14" s="533"/>
      <c r="B14" s="382" t="s">
        <v>2534</v>
      </c>
    </row>
    <row r="15" spans="1:3" ht="15" customHeight="1">
      <c r="A15" s="532" t="s">
        <v>119</v>
      </c>
      <c r="B15" s="382" t="s">
        <v>2535</v>
      </c>
    </row>
    <row r="16" spans="1:3">
      <c r="A16" s="532"/>
      <c r="B16" s="382" t="s">
        <v>2536</v>
      </c>
    </row>
    <row r="17" spans="1:2">
      <c r="A17" s="532"/>
      <c r="B17" s="382" t="s">
        <v>2537</v>
      </c>
    </row>
    <row r="18" spans="1:2">
      <c r="A18" s="532"/>
      <c r="B18" s="382" t="s">
        <v>2524</v>
      </c>
    </row>
    <row r="19" spans="1:2">
      <c r="A19" s="532"/>
      <c r="B19" s="382" t="s">
        <v>2538</v>
      </c>
    </row>
    <row r="20" spans="1:2">
      <c r="A20" s="532"/>
      <c r="B20" s="382" t="s">
        <v>2539</v>
      </c>
    </row>
    <row r="21" spans="1:2">
      <c r="A21" s="532"/>
      <c r="B21" s="382" t="s">
        <v>2540</v>
      </c>
    </row>
    <row r="22" spans="1:2">
      <c r="A22" s="532"/>
      <c r="B22" s="382" t="s">
        <v>2541</v>
      </c>
    </row>
    <row r="23" spans="1:2">
      <c r="A23" s="532"/>
      <c r="B23" s="382" t="s">
        <v>2542</v>
      </c>
    </row>
    <row r="24" spans="1:2">
      <c r="A24" s="532"/>
      <c r="B24" s="382" t="s">
        <v>2543</v>
      </c>
    </row>
    <row r="25" spans="1:2">
      <c r="A25" s="532"/>
      <c r="B25" s="382" t="s">
        <v>2544</v>
      </c>
    </row>
    <row r="26" spans="1:2">
      <c r="A26" s="532"/>
      <c r="B26" s="382" t="s">
        <v>2545</v>
      </c>
    </row>
    <row r="27" spans="1:2">
      <c r="A27" s="532"/>
      <c r="B27" s="382" t="s">
        <v>2546</v>
      </c>
    </row>
    <row r="28" spans="1:2">
      <c r="B28" s="380"/>
    </row>
    <row r="29" spans="1:2">
      <c r="B29" s="380"/>
    </row>
    <row r="30" spans="1:2">
      <c r="B30" s="380"/>
    </row>
    <row r="31" spans="1:2">
      <c r="B31" s="380"/>
    </row>
    <row r="32" spans="1:2">
      <c r="B32" s="380"/>
    </row>
  </sheetData>
  <mergeCells count="2">
    <mergeCell ref="A15:A27"/>
    <mergeCell ref="A11:A14"/>
  </mergeCells>
  <hyperlinks>
    <hyperlink ref="B6" r:id="rId1"/>
  </hyperlinks>
  <pageMargins left="0.7" right="0.7" top="0.75" bottom="0.75" header="0.3" footer="0.3"/>
  <pageSetup orientation="portrait" r:id="rId2"/>
</worksheet>
</file>

<file path=xl/worksheets/sheet10.xml><?xml version="1.0" encoding="utf-8"?>
<worksheet xmlns="http://schemas.openxmlformats.org/spreadsheetml/2006/main" xmlns:r="http://schemas.openxmlformats.org/officeDocument/2006/relationships">
  <sheetPr>
    <tabColor rgb="FFC00000"/>
  </sheetPr>
  <dimension ref="B1:N26"/>
  <sheetViews>
    <sheetView workbookViewId="0">
      <selection activeCell="C6" sqref="C6"/>
    </sheetView>
  </sheetViews>
  <sheetFormatPr defaultColWidth="8.85546875" defaultRowHeight="15"/>
  <cols>
    <col min="2" max="2" width="21.42578125" customWidth="1"/>
    <col min="3" max="3" width="9.140625" customWidth="1"/>
    <col min="4" max="4" width="10.42578125" customWidth="1"/>
    <col min="5" max="5" width="9.140625" bestFit="1" customWidth="1"/>
    <col min="6" max="6" width="9.7109375" bestFit="1" customWidth="1"/>
    <col min="7" max="12" width="9.140625" bestFit="1" customWidth="1"/>
    <col min="13" max="13" width="14.7109375" customWidth="1"/>
    <col min="14" max="14" width="13.42578125" customWidth="1"/>
    <col min="15" max="15" width="10.7109375" customWidth="1"/>
    <col min="16" max="16" width="11" customWidth="1"/>
  </cols>
  <sheetData>
    <row r="1" spans="2:14" ht="15.75" thickBot="1"/>
    <row r="2" spans="2:14" ht="60.75" thickBot="1">
      <c r="B2" s="209"/>
      <c r="C2" s="278" t="s">
        <v>2526</v>
      </c>
      <c r="D2" s="278" t="s">
        <v>2253</v>
      </c>
    </row>
    <row r="3" spans="2:14">
      <c r="B3" s="124" t="s">
        <v>87</v>
      </c>
      <c r="C3" s="281">
        <f>('2- Key Assumptions'!C49+'2- Key Assumptions'!D49)*CV_MPG</f>
        <v>0.11854359051597123</v>
      </c>
      <c r="D3" s="281">
        <f>SUM('2- Key Assumptions'!E49:F49)/1000000*CV_MPG*SCC</f>
        <v>6.0412750013035192E-2</v>
      </c>
    </row>
    <row r="4" spans="2:14">
      <c r="B4" s="259" t="s">
        <v>219</v>
      </c>
      <c r="C4" s="279">
        <f>('2- Key Assumptions'!C50+'2- Key Assumptions'!D50)*E85_MPG</f>
        <v>0.16984595238651631</v>
      </c>
      <c r="D4" s="279">
        <f>SUM('2- Key Assumptions'!E50:F50)/1000000*E85_MPG*SCC</f>
        <v>-5.3457927414299694E-2</v>
      </c>
    </row>
    <row r="5" spans="2:14">
      <c r="B5" s="259" t="s">
        <v>30</v>
      </c>
      <c r="C5" s="279">
        <f>('2- Key Assumptions'!C51+'2- Key Assumptions'!D51)*CNG_MPG</f>
        <v>9.958198839154056E-2</v>
      </c>
      <c r="D5" s="279">
        <f>SUM('2- Key Assumptions'!E51:F51)/1000000*CNG_MPG*SCC</f>
        <v>6.0484962253243145E-2</v>
      </c>
      <c r="E5" s="222"/>
      <c r="F5" s="84"/>
    </row>
    <row r="6" spans="2:14" ht="15.75" thickBot="1">
      <c r="B6" s="260" t="s">
        <v>221</v>
      </c>
      <c r="C6" s="280">
        <f>('2- Key Assumptions'!C52+'2- Key Assumptions'!D52)*HFCV_MPG</f>
        <v>0.36491533520975633</v>
      </c>
      <c r="D6" s="280">
        <f>SUM('2- Key Assumptions'!E52:F52)/1000000*HFCV_MPG*SCC</f>
        <v>0.38273590670053065</v>
      </c>
      <c r="E6" s="84"/>
      <c r="F6" s="222"/>
    </row>
    <row r="8" spans="2:14" ht="15.75" thickBot="1"/>
    <row r="9" spans="2:14" ht="15.75" thickBot="1">
      <c r="B9" s="124"/>
      <c r="C9" s="401" t="s">
        <v>0</v>
      </c>
      <c r="D9" s="199"/>
      <c r="E9" s="556" t="s">
        <v>3</v>
      </c>
      <c r="F9" s="556"/>
      <c r="G9" s="556" t="s">
        <v>125</v>
      </c>
      <c r="H9" s="556"/>
      <c r="I9" s="556" t="s">
        <v>5</v>
      </c>
      <c r="J9" s="556"/>
      <c r="K9" s="556" t="s">
        <v>2216</v>
      </c>
      <c r="L9" s="556"/>
      <c r="M9" s="556" t="s">
        <v>2238</v>
      </c>
      <c r="N9" s="557"/>
    </row>
    <row r="10" spans="2:14" ht="33.75" customHeight="1" thickBot="1">
      <c r="B10" s="401" t="s">
        <v>102</v>
      </c>
      <c r="C10" s="493" t="s">
        <v>2527</v>
      </c>
      <c r="D10" s="494" t="s">
        <v>48</v>
      </c>
      <c r="E10" s="494" t="s">
        <v>2527</v>
      </c>
      <c r="F10" s="494" t="s">
        <v>48</v>
      </c>
      <c r="G10" s="494" t="s">
        <v>2527</v>
      </c>
      <c r="H10" s="494" t="s">
        <v>48</v>
      </c>
      <c r="I10" s="494" t="s">
        <v>2527</v>
      </c>
      <c r="J10" s="494" t="s">
        <v>48</v>
      </c>
      <c r="K10" s="494" t="s">
        <v>2527</v>
      </c>
      <c r="L10" s="494" t="s">
        <v>48</v>
      </c>
      <c r="M10" s="494" t="s">
        <v>2527</v>
      </c>
      <c r="N10" s="495" t="s">
        <v>48</v>
      </c>
    </row>
    <row r="11" spans="2:14">
      <c r="B11" s="113">
        <v>1</v>
      </c>
      <c r="C11" s="276">
        <f>(LIFETIME_MILES/LIFETIME_YEARS/CV_MPG*$C$3)/(1+DISCOUNT_RATE)^B11</f>
        <v>57.428567941340354</v>
      </c>
      <c r="D11" s="277">
        <f t="shared" ref="D11:D22" si="0">(LIFETIME_MILES/LIFETIME_YEARS/CV_MPG*$D$3)/(1+DISCOUNT_RATE)^B11</f>
        <v>29.267020709815363</v>
      </c>
      <c r="E11" s="277">
        <f>(LIFETIME_MILES/LIFETIME_YEARS/E85_MPG*$C$4)/(1+DISCOUNT_RATE)^B11</f>
        <v>82.282051469299518</v>
      </c>
      <c r="F11" s="277">
        <f t="shared" ref="F11:F22" si="1">(LIFETIME_MILES/LIFETIME_YEARS/E85_MPG*$D$4)/(1+DISCOUNT_RATE)^B11</f>
        <v>-25.897749537978875</v>
      </c>
      <c r="G11" s="277">
        <f>(LIFETIME_MILES/LIFETIME_YEARS/HEV_MPG*$C$3)/(1+DISCOUNT_RATE_FUEL)^B11</f>
        <v>41.020405672385969</v>
      </c>
      <c r="H11" s="277">
        <f t="shared" ref="H11:H22" si="2">(LIFETIME_MILES/LIFETIME_YEARS/HEV_MPG*$D$3)/(1+DISCOUNT_RATE)^B11</f>
        <v>20.905014792725257</v>
      </c>
      <c r="I11" s="277">
        <f t="shared" ref="I11:I22" si="3">(LIFETIME_MILES/LIFETIME_YEARS/CNG_MPG*$C$5)/(1+DISCOUNT_RATE)^B11</f>
        <v>46.837475451755111</v>
      </c>
      <c r="J11" s="277">
        <f t="shared" ref="J11:J22" si="4">(LIFETIME_MILES/LIFETIME_YEARS/CNG_MPG*$D$5)/(1+DISCOUNT_RATE)^B11</f>
        <v>28.448547578683105</v>
      </c>
      <c r="K11" s="277">
        <f t="shared" ref="K11:K22" si="5">(LIFETIME_MILES/LIFETIME_YEARS/HFCV_MPG*$C$6)/(1+DISCOUNT_RATE)^B11</f>
        <v>74.686785179825719</v>
      </c>
      <c r="L11" s="277">
        <f t="shared" ref="L11:L22" si="6">(LIFETIME_MILES/LIFETIME_YEARS/HFCV_MPG*$D$6)/(1+DISCOUNT_RATE)^B11</f>
        <v>78.334100231543516</v>
      </c>
      <c r="M11" s="277">
        <f>(LIFETIME_MILES/LIFETIME_YEARS/MI_KWH/CHARGING_EFFICIENCY*SUM('2- Key Assumptions'!$D$76:$D$82))/(1+DISCOUNT_RATE)^B11</f>
        <v>97.055068166556026</v>
      </c>
      <c r="N11" s="449">
        <f>(LIFETIME_MILES/LIFETIME_YEARS/MI_KWH/CHARGING_EFFICIENCY*'2- Key Assumptions'!$C$84*SCC)/(1+DISCOUNT_RATE)^B11</f>
        <v>72.10047955721214</v>
      </c>
    </row>
    <row r="12" spans="2:14">
      <c r="B12" s="113">
        <v>2</v>
      </c>
      <c r="C12" s="276">
        <f t="shared" ref="C12:C22" si="7">(LIFETIME_MILES/LIFETIME_YEARS/CV_MPG*$C$3)/(1+DISCOUNT_RATE)^B12</f>
        <v>55.219776866673413</v>
      </c>
      <c r="D12" s="277">
        <f t="shared" si="0"/>
        <v>28.141366067130154</v>
      </c>
      <c r="E12" s="277">
        <f t="shared" ref="E12:E22" si="8">(LIFETIME_MILES/LIFETIME_YEARS/E85_MPG*$C$4)/(1+DISCOUNT_RATE)^B12</f>
        <v>79.117357182018765</v>
      </c>
      <c r="F12" s="277">
        <f t="shared" si="1"/>
        <v>-24.901682248056609</v>
      </c>
      <c r="G12" s="277">
        <f t="shared" ref="G12:G22" si="9">(LIFETIME_MILES/LIFETIME_YEARS/HEV_MPG*$C$3)/(1+DISCOUNT_RATE_FUEL)^B12</f>
        <v>39.442697761909578</v>
      </c>
      <c r="H12" s="277">
        <f t="shared" si="2"/>
        <v>20.100975762235823</v>
      </c>
      <c r="I12" s="277">
        <f t="shared" si="3"/>
        <v>45.036034088226067</v>
      </c>
      <c r="J12" s="277">
        <f t="shared" si="4"/>
        <v>27.354372671810676</v>
      </c>
      <c r="K12" s="277">
        <f t="shared" si="5"/>
        <v>71.81421651906318</v>
      </c>
      <c r="L12" s="277">
        <f t="shared" si="6"/>
        <v>75.321250222637985</v>
      </c>
      <c r="M12" s="277">
        <f>(LIFETIME_MILES/LIFETIME_YEARS/MI_KWH/CHARGING_EFFICIENCY*SUM('2- Key Assumptions'!$D$76:$D$82))/(1+DISCOUNT_RATE)^B12</f>
        <v>93.322180929380792</v>
      </c>
      <c r="N12" s="449">
        <f>(LIFETIME_MILES/LIFETIME_YEARS/MI_KWH/CHARGING_EFFICIENCY*'2- Key Assumptions'!$C$84*SCC)/(1+DISCOUNT_RATE)^B12</f>
        <v>69.327384189627054</v>
      </c>
    </row>
    <row r="13" spans="2:14">
      <c r="B13" s="113">
        <v>3</v>
      </c>
      <c r="C13" s="276">
        <f t="shared" si="7"/>
        <v>53.095939294878285</v>
      </c>
      <c r="D13" s="277">
        <f t="shared" si="0"/>
        <v>27.059005833778997</v>
      </c>
      <c r="E13" s="277">
        <f t="shared" si="8"/>
        <v>76.074381905787277</v>
      </c>
      <c r="F13" s="277">
        <f t="shared" si="1"/>
        <v>-23.943925238515973</v>
      </c>
      <c r="G13" s="277">
        <f t="shared" si="9"/>
        <v>37.925670924913064</v>
      </c>
      <c r="H13" s="277">
        <f t="shared" si="2"/>
        <v>19.327861309842138</v>
      </c>
      <c r="I13" s="277">
        <f t="shared" si="3"/>
        <v>43.303878930986599</v>
      </c>
      <c r="J13" s="277">
        <f t="shared" si="4"/>
        <v>26.302281415202575</v>
      </c>
      <c r="K13" s="277">
        <f t="shared" si="5"/>
        <v>69.052131268329987</v>
      </c>
      <c r="L13" s="277">
        <f t="shared" si="6"/>
        <v>72.424279060228841</v>
      </c>
      <c r="M13" s="277">
        <f>(LIFETIME_MILES/LIFETIME_YEARS/MI_KWH/CHARGING_EFFICIENCY*SUM('2- Key Assumptions'!$D$76:$D$82))/(1+DISCOUNT_RATE)^B13</f>
        <v>89.732866278250754</v>
      </c>
      <c r="N13" s="449">
        <f>(LIFETIME_MILES/LIFETIME_YEARS/MI_KWH/CHARGING_EFFICIENCY*'2- Key Assumptions'!$C$84*SCC)/(1+DISCOUNT_RATE)^B13</f>
        <v>66.660946336179862</v>
      </c>
    </row>
    <row r="14" spans="2:14">
      <c r="B14" s="113">
        <v>4</v>
      </c>
      <c r="C14" s="276">
        <f t="shared" si="7"/>
        <v>51.053787783536805</v>
      </c>
      <c r="D14" s="277">
        <f t="shared" si="0"/>
        <v>26.018274840172108</v>
      </c>
      <c r="E14" s="277">
        <f t="shared" si="8"/>
        <v>73.148444140180061</v>
      </c>
      <c r="F14" s="277">
        <f t="shared" si="1"/>
        <v>-23.023005037034586</v>
      </c>
      <c r="G14" s="277">
        <f t="shared" si="9"/>
        <v>36.466991273954861</v>
      </c>
      <c r="H14" s="277">
        <f t="shared" si="2"/>
        <v>18.584482028694364</v>
      </c>
      <c r="I14" s="277">
        <f t="shared" si="3"/>
        <v>41.638345125948653</v>
      </c>
      <c r="J14" s="277">
        <f t="shared" si="4"/>
        <v>25.29065520692555</v>
      </c>
      <c r="K14" s="277">
        <f t="shared" si="5"/>
        <v>66.396280065701902</v>
      </c>
      <c r="L14" s="277">
        <f t="shared" si="6"/>
        <v>69.638729865604645</v>
      </c>
      <c r="M14" s="277">
        <f>(LIFETIME_MILES/LIFETIME_YEARS/MI_KWH/CHARGING_EFFICIENCY*SUM('2- Key Assumptions'!$D$76:$D$82))/(1+DISCOUNT_RATE)^B14</f>
        <v>86.281602190625719</v>
      </c>
      <c r="N14" s="449">
        <f>(LIFETIME_MILES/LIFETIME_YEARS/MI_KWH/CHARGING_EFFICIENCY*'2- Key Assumptions'!$C$84*SCC)/(1+DISCOUNT_RATE)^B14</f>
        <v>64.097063784788318</v>
      </c>
    </row>
    <row r="15" spans="2:14">
      <c r="B15" s="113">
        <v>5</v>
      </c>
      <c r="C15" s="276">
        <f t="shared" si="7"/>
        <v>49.090180561093078</v>
      </c>
      <c r="D15" s="277">
        <f t="shared" si="0"/>
        <v>25.017571961703947</v>
      </c>
      <c r="E15" s="277">
        <f t="shared" si="8"/>
        <v>70.335042442480827</v>
      </c>
      <c r="F15" s="277">
        <f t="shared" si="1"/>
        <v>-22.137504843302484</v>
      </c>
      <c r="G15" s="277">
        <f t="shared" si="9"/>
        <v>35.064414686495056</v>
      </c>
      <c r="H15" s="277">
        <f t="shared" si="2"/>
        <v>17.869694258359964</v>
      </c>
      <c r="I15" s="277">
        <f t="shared" si="3"/>
        <v>40.036870313412159</v>
      </c>
      <c r="J15" s="277">
        <f t="shared" si="4"/>
        <v>24.317937698966873</v>
      </c>
      <c r="K15" s="277">
        <f t="shared" si="5"/>
        <v>63.842576986251821</v>
      </c>
      <c r="L15" s="277">
        <f t="shared" si="6"/>
        <v>66.960317178465999</v>
      </c>
      <c r="M15" s="277">
        <f>(LIFETIME_MILES/LIFETIME_YEARS/MI_KWH/CHARGING_EFFICIENCY*SUM('2- Key Assumptions'!$D$76:$D$82))/(1+DISCOUNT_RATE)^B15</f>
        <v>82.963079029447798</v>
      </c>
      <c r="N15" s="449">
        <f>(LIFETIME_MILES/LIFETIME_YEARS/MI_KWH/CHARGING_EFFICIENCY*'2- Key Assumptions'!$C$84*SCC)/(1+DISCOUNT_RATE)^B15</f>
        <v>61.631792100757991</v>
      </c>
    </row>
    <row r="16" spans="2:14">
      <c r="B16" s="113">
        <v>6</v>
      </c>
      <c r="C16" s="276">
        <f t="shared" si="7"/>
        <v>47.202096693358726</v>
      </c>
      <c r="D16" s="277">
        <f t="shared" si="0"/>
        <v>24.055357655484563</v>
      </c>
      <c r="E16" s="277">
        <f t="shared" si="8"/>
        <v>67.6298485023854</v>
      </c>
      <c r="F16" s="277">
        <f t="shared" si="1"/>
        <v>-21.286062349329313</v>
      </c>
      <c r="G16" s="277">
        <f t="shared" si="9"/>
        <v>33.715783352399093</v>
      </c>
      <c r="H16" s="277">
        <f t="shared" si="2"/>
        <v>17.182398325346117</v>
      </c>
      <c r="I16" s="277">
        <f t="shared" si="3"/>
        <v>38.49699068597323</v>
      </c>
      <c r="J16" s="277">
        <f t="shared" si="4"/>
        <v>23.38263240285276</v>
      </c>
      <c r="K16" s="277">
        <f t="shared" si="5"/>
        <v>61.387093256011369</v>
      </c>
      <c r="L16" s="277">
        <f t="shared" si="6"/>
        <v>64.384920363909615</v>
      </c>
      <c r="M16" s="277">
        <f>(LIFETIME_MILES/LIFETIME_YEARS/MI_KWH/CHARGING_EFFICIENCY*SUM('2- Key Assumptions'!$D$76:$D$82))/(1+DISCOUNT_RATE)^B16</f>
        <v>79.772191374469031</v>
      </c>
      <c r="N16" s="449">
        <f>(LIFETIME_MILES/LIFETIME_YEARS/MI_KWH/CHARGING_EFFICIENCY*'2- Key Assumptions'!$C$84*SCC)/(1+DISCOUNT_RATE)^B16</f>
        <v>59.261338558421144</v>
      </c>
    </row>
    <row r="17" spans="2:14">
      <c r="B17" s="113">
        <v>7</v>
      </c>
      <c r="C17" s="276">
        <f t="shared" si="7"/>
        <v>45.386631435921856</v>
      </c>
      <c r="D17" s="277">
        <f t="shared" si="0"/>
        <v>23.130151591812083</v>
      </c>
      <c r="E17" s="277">
        <f t="shared" si="8"/>
        <v>65.028700483062892</v>
      </c>
      <c r="F17" s="277">
        <f t="shared" si="1"/>
        <v>-20.467367643585877</v>
      </c>
      <c r="G17" s="277">
        <f t="shared" si="9"/>
        <v>32.419022454229896</v>
      </c>
      <c r="H17" s="277">
        <f t="shared" si="2"/>
        <v>16.521536851294346</v>
      </c>
      <c r="I17" s="277">
        <f t="shared" si="3"/>
        <v>37.01633719805119</v>
      </c>
      <c r="J17" s="277">
        <f t="shared" si="4"/>
        <v>22.483300387358426</v>
      </c>
      <c r="K17" s="277">
        <f t="shared" si="5"/>
        <v>59.02605120770324</v>
      </c>
      <c r="L17" s="277">
        <f t="shared" si="6"/>
        <v>61.908577272990016</v>
      </c>
      <c r="M17" s="277">
        <f>(LIFETIME_MILES/LIFETIME_YEARS/MI_KWH/CHARGING_EFFICIENCY*SUM('2- Key Assumptions'!$D$76:$D$82))/(1+DISCOUNT_RATE)^B17</f>
        <v>76.704030167758702</v>
      </c>
      <c r="N17" s="449">
        <f>(LIFETIME_MILES/LIFETIME_YEARS/MI_KWH/CHARGING_EFFICIENCY*'2- Key Assumptions'!$C$84*SCC)/(1+DISCOUNT_RATE)^B17</f>
        <v>56.982056306174179</v>
      </c>
    </row>
    <row r="18" spans="2:14">
      <c r="B18" s="113">
        <v>8</v>
      </c>
      <c r="C18" s="276">
        <f t="shared" si="7"/>
        <v>43.640991765309472</v>
      </c>
      <c r="D18" s="277">
        <f t="shared" si="0"/>
        <v>22.240530376742385</v>
      </c>
      <c r="E18" s="277">
        <f t="shared" si="8"/>
        <v>62.527596618329696</v>
      </c>
      <c r="F18" s="277">
        <f t="shared" si="1"/>
        <v>-19.680161195755648</v>
      </c>
      <c r="G18" s="277">
        <f t="shared" si="9"/>
        <v>31.172136975221051</v>
      </c>
      <c r="H18" s="277">
        <f t="shared" si="2"/>
        <v>15.88609312624456</v>
      </c>
      <c r="I18" s="277">
        <f t="shared" si="3"/>
        <v>35.592631921203058</v>
      </c>
      <c r="J18" s="277">
        <f t="shared" si="4"/>
        <v>21.618558064767715</v>
      </c>
      <c r="K18" s="277">
        <f t="shared" si="5"/>
        <v>56.755818468945414</v>
      </c>
      <c r="L18" s="277">
        <f t="shared" si="6"/>
        <v>59.527478147105775</v>
      </c>
      <c r="M18" s="277">
        <f>(LIFETIME_MILES/LIFETIME_YEARS/MI_KWH/CHARGING_EFFICIENCY*SUM('2- Key Assumptions'!$D$76:$D$82))/(1+DISCOUNT_RATE)^B18</f>
        <v>73.753875161306425</v>
      </c>
      <c r="N18" s="449">
        <f>(LIFETIME_MILES/LIFETIME_YEARS/MI_KWH/CHARGING_EFFICIENCY*'2- Key Assumptions'!$C$84*SCC)/(1+DISCOUNT_RATE)^B18</f>
        <v>54.790438755936705</v>
      </c>
    </row>
    <row r="19" spans="2:14">
      <c r="B19" s="113">
        <v>9</v>
      </c>
      <c r="C19" s="276">
        <f t="shared" si="7"/>
        <v>41.962492082028334</v>
      </c>
      <c r="D19" s="277">
        <f t="shared" si="0"/>
        <v>21.385125362252293</v>
      </c>
      <c r="E19" s="277">
        <f t="shared" si="8"/>
        <v>60.122689056086244</v>
      </c>
      <c r="F19" s="277">
        <f t="shared" si="1"/>
        <v>-18.923231918995814</v>
      </c>
      <c r="G19" s="277">
        <f t="shared" si="9"/>
        <v>29.973208630020238</v>
      </c>
      <c r="H19" s="277">
        <f t="shared" si="2"/>
        <v>15.275089544465922</v>
      </c>
      <c r="I19" s="277">
        <f t="shared" si="3"/>
        <v>34.223684539618326</v>
      </c>
      <c r="J19" s="277">
        <f t="shared" si="4"/>
        <v>20.787075062276646</v>
      </c>
      <c r="K19" s="277">
        <f t="shared" si="5"/>
        <v>54.572902373985976</v>
      </c>
      <c r="L19" s="277">
        <f t="shared" si="6"/>
        <v>57.237959756832474</v>
      </c>
      <c r="M19" s="277">
        <f>(LIFETIME_MILES/LIFETIME_YEARS/MI_KWH/CHARGING_EFFICIENCY*SUM('2- Key Assumptions'!$D$76:$D$82))/(1+DISCOUNT_RATE)^B19</f>
        <v>70.917187655102325</v>
      </c>
      <c r="N19" s="449">
        <f>(LIFETIME_MILES/LIFETIME_YEARS/MI_KWH/CHARGING_EFFICIENCY*'2- Key Assumptions'!$C$84*SCC)/(1+DISCOUNT_RATE)^B19</f>
        <v>52.683114188400673</v>
      </c>
    </row>
    <row r="20" spans="2:14">
      <c r="B20" s="113">
        <v>10</v>
      </c>
      <c r="C20" s="276">
        <f t="shared" si="7"/>
        <v>40.348550078873394</v>
      </c>
      <c r="D20" s="277">
        <f t="shared" si="0"/>
        <v>20.562620540627204</v>
      </c>
      <c r="E20" s="277">
        <f t="shared" si="8"/>
        <v>57.810277938544466</v>
      </c>
      <c r="F20" s="277">
        <f t="shared" si="1"/>
        <v>-18.195415306726744</v>
      </c>
      <c r="G20" s="277">
        <f t="shared" si="9"/>
        <v>28.820392913481001</v>
      </c>
      <c r="H20" s="277">
        <f t="shared" si="2"/>
        <v>14.687586100448002</v>
      </c>
      <c r="I20" s="277">
        <f t="shared" si="3"/>
        <v>32.907388980402231</v>
      </c>
      <c r="J20" s="277">
        <f t="shared" si="4"/>
        <v>19.987572175266006</v>
      </c>
      <c r="K20" s="277">
        <f t="shared" si="5"/>
        <v>52.473944590371126</v>
      </c>
      <c r="L20" s="277">
        <f t="shared" si="6"/>
        <v>55.036499766185067</v>
      </c>
      <c r="M20" s="277">
        <f>(LIFETIME_MILES/LIFETIME_YEARS/MI_KWH/CHARGING_EFFICIENCY*SUM('2- Key Assumptions'!$D$76:$D$82))/(1+DISCOUNT_RATE)^B20</f>
        <v>68.189603514521465</v>
      </c>
      <c r="N20" s="449">
        <f>(LIFETIME_MILES/LIFETIME_YEARS/MI_KWH/CHARGING_EFFICIENCY*'2- Key Assumptions'!$C$84*SCC)/(1+DISCOUNT_RATE)^B20</f>
        <v>50.656840565769876</v>
      </c>
    </row>
    <row r="21" spans="2:14">
      <c r="B21" s="113">
        <v>11</v>
      </c>
      <c r="C21" s="276">
        <f t="shared" si="7"/>
        <v>38.796682768147498</v>
      </c>
      <c r="D21" s="277">
        <f t="shared" si="0"/>
        <v>19.771750519833851</v>
      </c>
      <c r="E21" s="277">
        <f t="shared" si="8"/>
        <v>55.586805710138911</v>
      </c>
      <c r="F21" s="277">
        <f t="shared" si="1"/>
        <v>-17.495591641083411</v>
      </c>
      <c r="G21" s="277">
        <f t="shared" si="9"/>
        <v>27.7119162629625</v>
      </c>
      <c r="H21" s="277">
        <f t="shared" si="2"/>
        <v>14.122678942738464</v>
      </c>
      <c r="I21" s="277">
        <f t="shared" si="3"/>
        <v>31.641720173463689</v>
      </c>
      <c r="J21" s="277">
        <f t="shared" si="4"/>
        <v>19.218819399294237</v>
      </c>
      <c r="K21" s="277">
        <f t="shared" si="5"/>
        <v>50.455715952279931</v>
      </c>
      <c r="L21" s="277">
        <f t="shared" si="6"/>
        <v>52.919711313639496</v>
      </c>
      <c r="M21" s="277">
        <f>(LIFETIME_MILES/LIFETIME_YEARS/MI_KWH/CHARGING_EFFICIENCY*SUM('2- Key Assumptions'!$D$76:$D$82))/(1+DISCOUNT_RATE)^B21</f>
        <v>65.56692645627065</v>
      </c>
      <c r="N21" s="449">
        <f>(LIFETIME_MILES/LIFETIME_YEARS/MI_KWH/CHARGING_EFFICIENCY*'2- Key Assumptions'!$C$84*SCC)/(1+DISCOUNT_RATE)^B21</f>
        <v>48.708500544009503</v>
      </c>
    </row>
    <row r="22" spans="2:14" ht="15.75" thickBot="1">
      <c r="B22" s="405">
        <v>12</v>
      </c>
      <c r="C22" s="445">
        <f t="shared" si="7"/>
        <v>37.304502661680282</v>
      </c>
      <c r="D22" s="450">
        <f t="shared" si="0"/>
        <v>19.011298576763313</v>
      </c>
      <c r="E22" s="450">
        <f t="shared" si="8"/>
        <v>53.448851644364325</v>
      </c>
      <c r="F22" s="450">
        <f t="shared" si="1"/>
        <v>-16.822684270272507</v>
      </c>
      <c r="G22" s="450">
        <f t="shared" si="9"/>
        <v>26.646073329771632</v>
      </c>
      <c r="H22" s="450">
        <f t="shared" si="2"/>
        <v>13.579498983402367</v>
      </c>
      <c r="I22" s="450">
        <f t="shared" si="3"/>
        <v>30.424730936022769</v>
      </c>
      <c r="J22" s="450">
        <f t="shared" si="4"/>
        <v>18.479634037782915</v>
      </c>
      <c r="K22" s="450">
        <f t="shared" si="5"/>
        <v>48.51511149257685</v>
      </c>
      <c r="L22" s="450">
        <f t="shared" si="6"/>
        <v>50.884337801576422</v>
      </c>
      <c r="M22" s="450">
        <f>(LIFETIME_MILES/LIFETIME_YEARS/MI_KWH/CHARGING_EFFICIENCY*SUM('2- Key Assumptions'!$D$76:$D$82))/(1+DISCOUNT_RATE)^B22</f>
        <v>63.045121592567916</v>
      </c>
      <c r="N22" s="451">
        <f>(LIFETIME_MILES/LIFETIME_YEARS/MI_KWH/CHARGING_EFFICIENCY*'2- Key Assumptions'!$C$84*SCC)/(1+DISCOUNT_RATE)^B22</f>
        <v>46.835096676932203</v>
      </c>
    </row>
    <row r="23" spans="2:14" ht="15.75" thickBot="1">
      <c r="B23" s="259"/>
      <c r="C23" s="113"/>
      <c r="D23" s="110"/>
      <c r="E23" s="110"/>
      <c r="F23" s="110"/>
      <c r="G23" s="110"/>
      <c r="H23" s="110"/>
      <c r="I23" s="110"/>
      <c r="J23" s="110"/>
      <c r="K23" s="110"/>
      <c r="L23" s="110"/>
      <c r="M23" s="110"/>
      <c r="N23" s="228"/>
    </row>
    <row r="24" spans="2:14">
      <c r="B24" s="124" t="s">
        <v>2237</v>
      </c>
      <c r="C24" s="444">
        <f>SUM(C11:C22)</f>
        <v>560.53019993284158</v>
      </c>
      <c r="D24" s="275">
        <f t="shared" ref="D24:L24" si="10">SUM(D11:D22)</f>
        <v>285.66007403611621</v>
      </c>
      <c r="E24" s="275">
        <f t="shared" si="10"/>
        <v>803.11204709267838</v>
      </c>
      <c r="F24" s="275">
        <f t="shared" si="10"/>
        <v>-252.77438123063786</v>
      </c>
      <c r="G24" s="275">
        <f t="shared" si="10"/>
        <v>400.37871423774396</v>
      </c>
      <c r="H24" s="275">
        <f t="shared" si="10"/>
        <v>204.04291002579737</v>
      </c>
      <c r="I24" s="275">
        <f t="shared" si="10"/>
        <v>457.15608834506304</v>
      </c>
      <c r="J24" s="275">
        <f t="shared" si="10"/>
        <v>277.67138610118741</v>
      </c>
      <c r="K24" s="275">
        <f t="shared" si="10"/>
        <v>728.97862736104639</v>
      </c>
      <c r="L24" s="275">
        <f t="shared" si="10"/>
        <v>764.57816098071976</v>
      </c>
      <c r="M24" s="199"/>
      <c r="N24" s="200"/>
    </row>
    <row r="25" spans="2:14" ht="15.75" thickBot="1">
      <c r="B25" s="260" t="s">
        <v>2236</v>
      </c>
      <c r="C25" s="208"/>
      <c r="D25" s="205"/>
      <c r="E25" s="120"/>
      <c r="F25" s="120"/>
      <c r="G25" s="205"/>
      <c r="H25" s="205"/>
      <c r="I25" s="120"/>
      <c r="J25" s="120"/>
      <c r="K25" s="120"/>
      <c r="L25" s="120"/>
      <c r="M25" s="205">
        <f>SUM(M11:M22)</f>
        <v>947.30373251625747</v>
      </c>
      <c r="N25" s="206">
        <f>SUM(N11:N22)</f>
        <v>703.73505156420958</v>
      </c>
    </row>
    <row r="26" spans="2:14">
      <c r="D26" s="109"/>
    </row>
  </sheetData>
  <mergeCells count="5">
    <mergeCell ref="M9:N9"/>
    <mergeCell ref="E9:F9"/>
    <mergeCell ref="G9:H9"/>
    <mergeCell ref="I9:J9"/>
    <mergeCell ref="K9:L9"/>
  </mergeCells>
  <pageMargins left="0.7" right="0.7" top="0.75" bottom="0.75" header="0.3" footer="0.3"/>
  <pageSetup orientation="portrait" horizontalDpi="4294967292" verticalDpi="4294967292"/>
</worksheet>
</file>

<file path=xl/worksheets/sheet11.xml><?xml version="1.0" encoding="utf-8"?>
<worksheet xmlns="http://schemas.openxmlformats.org/spreadsheetml/2006/main" xmlns:r="http://schemas.openxmlformats.org/officeDocument/2006/relationships">
  <sheetPr>
    <tabColor rgb="FFC00000"/>
  </sheetPr>
  <dimension ref="B1:AC32"/>
  <sheetViews>
    <sheetView topLeftCell="A13" workbookViewId="0">
      <selection activeCell="H34" sqref="H34"/>
    </sheetView>
  </sheetViews>
  <sheetFormatPr defaultColWidth="8.85546875" defaultRowHeight="15"/>
  <cols>
    <col min="2" max="2" width="14.140625" bestFit="1" customWidth="1"/>
    <col min="3" max="3" width="9" bestFit="1" customWidth="1"/>
    <col min="5" max="7" width="9" bestFit="1" customWidth="1"/>
    <col min="8" max="8" width="9.5703125" bestFit="1" customWidth="1"/>
    <col min="9" max="9" width="9" bestFit="1" customWidth="1"/>
    <col min="10" max="10" width="14.5703125" bestFit="1" customWidth="1"/>
    <col min="28" max="28" width="9.85546875" bestFit="1" customWidth="1"/>
  </cols>
  <sheetData>
    <row r="1" spans="2:29" s="383" customFormat="1" ht="15.75" thickBot="1"/>
    <row r="2" spans="2:29" ht="15.75" thickBot="1">
      <c r="B2" s="448" t="s">
        <v>2504</v>
      </c>
      <c r="C2" s="199"/>
      <c r="D2" s="199"/>
      <c r="E2" s="199"/>
      <c r="F2" s="199"/>
      <c r="G2" s="199"/>
      <c r="H2" s="199"/>
      <c r="I2" s="199"/>
      <c r="J2" s="199"/>
      <c r="K2" s="199"/>
      <c r="L2" s="452"/>
      <c r="N2" s="462" t="s">
        <v>2509</v>
      </c>
      <c r="O2" s="463"/>
      <c r="P2" s="463"/>
      <c r="Q2" s="463"/>
      <c r="R2" s="463"/>
      <c r="S2" s="463"/>
      <c r="T2" s="463"/>
      <c r="U2" s="408"/>
      <c r="W2" s="477" t="s">
        <v>2521</v>
      </c>
      <c r="X2" s="11"/>
      <c r="Y2" s="11"/>
      <c r="Z2" s="11"/>
      <c r="AA2" s="11"/>
      <c r="AB2" s="11"/>
    </row>
    <row r="3" spans="2:29" ht="15.75">
      <c r="B3" s="401"/>
      <c r="C3" s="199" t="s">
        <v>2505</v>
      </c>
      <c r="D3" s="199"/>
      <c r="E3" s="199"/>
      <c r="F3" s="199"/>
      <c r="G3" s="199"/>
      <c r="H3" s="199"/>
      <c r="I3" s="199"/>
      <c r="J3" s="199"/>
      <c r="K3" s="199"/>
      <c r="L3" s="452"/>
      <c r="N3" s="401" t="s">
        <v>2510</v>
      </c>
      <c r="O3" s="199"/>
      <c r="P3" s="199"/>
      <c r="Q3" s="199"/>
      <c r="R3" s="199"/>
      <c r="S3" s="199"/>
      <c r="T3" s="199"/>
      <c r="U3" s="452"/>
      <c r="W3" s="13"/>
      <c r="X3" s="558" t="s">
        <v>67</v>
      </c>
      <c r="Y3" s="559"/>
      <c r="Z3" s="559"/>
      <c r="AA3" s="559"/>
      <c r="AB3" s="560"/>
      <c r="AC3" s="430" t="s">
        <v>2519</v>
      </c>
    </row>
    <row r="4" spans="2:29" ht="23.25">
      <c r="B4" s="113"/>
      <c r="C4" s="110"/>
      <c r="D4" s="110"/>
      <c r="E4" s="110" t="s">
        <v>48</v>
      </c>
      <c r="F4" s="110" t="s">
        <v>19</v>
      </c>
      <c r="G4" s="110" t="s">
        <v>218</v>
      </c>
      <c r="H4" s="110" t="s">
        <v>100</v>
      </c>
      <c r="I4" s="110" t="s">
        <v>18</v>
      </c>
      <c r="J4" s="110" t="s">
        <v>16</v>
      </c>
      <c r="K4" s="110" t="s">
        <v>17</v>
      </c>
      <c r="L4" s="404" t="s">
        <v>14</v>
      </c>
      <c r="N4" s="113" t="s">
        <v>48</v>
      </c>
      <c r="O4" s="110" t="s">
        <v>19</v>
      </c>
      <c r="P4" s="110" t="s">
        <v>218</v>
      </c>
      <c r="Q4" s="110" t="s">
        <v>100</v>
      </c>
      <c r="R4" s="110" t="s">
        <v>18</v>
      </c>
      <c r="S4" s="110" t="s">
        <v>16</v>
      </c>
      <c r="T4" s="110" t="s">
        <v>17</v>
      </c>
      <c r="U4" s="404" t="s">
        <v>14</v>
      </c>
      <c r="W4" s="14"/>
      <c r="X4" s="15" t="s">
        <v>69</v>
      </c>
      <c r="Y4" s="16" t="s">
        <v>70</v>
      </c>
      <c r="Z4" s="16" t="s">
        <v>71</v>
      </c>
      <c r="AA4" s="16" t="s">
        <v>72</v>
      </c>
      <c r="AB4" s="17" t="s">
        <v>26</v>
      </c>
      <c r="AC4" s="259"/>
    </row>
    <row r="5" spans="2:29">
      <c r="B5" s="113"/>
      <c r="C5" s="110"/>
      <c r="D5" s="110"/>
      <c r="E5" s="110">
        <v>0.97063136966466734</v>
      </c>
      <c r="F5" s="110">
        <v>3.6235867918390363E-4</v>
      </c>
      <c r="G5" s="110"/>
      <c r="H5" s="110">
        <v>2.0997514145309807E-3</v>
      </c>
      <c r="I5" s="110">
        <v>1.5109432080956571E-3</v>
      </c>
      <c r="J5" s="110">
        <v>5.5990378308006016E-4</v>
      </c>
      <c r="K5" s="110">
        <v>2.9449611240703506E-3</v>
      </c>
      <c r="L5" s="404">
        <v>1.8167657821730355E-3</v>
      </c>
      <c r="N5" s="113">
        <v>0.33884640430648466</v>
      </c>
      <c r="O5" s="110">
        <v>8.6853752777542859E-5</v>
      </c>
      <c r="P5" s="110"/>
      <c r="Q5" s="110">
        <v>3.5578619138643651E-4</v>
      </c>
      <c r="R5" s="110">
        <v>4.2972504643858919E-4</v>
      </c>
      <c r="S5" s="110">
        <v>1.1319890094767663E-4</v>
      </c>
      <c r="T5" s="110">
        <v>7.8223362623810599E-4</v>
      </c>
      <c r="U5" s="404">
        <v>2.9261245310910138E-5</v>
      </c>
      <c r="W5" s="18" t="s">
        <v>60</v>
      </c>
      <c r="X5" s="19">
        <v>86.548726157295761</v>
      </c>
      <c r="Y5" s="20">
        <v>15.548815398391199</v>
      </c>
      <c r="Z5" s="20">
        <v>20.767395161512045</v>
      </c>
      <c r="AA5" s="20">
        <v>2.4656205552512547</v>
      </c>
      <c r="AB5" s="21">
        <v>125.33055727245025</v>
      </c>
      <c r="AC5" s="259"/>
    </row>
    <row r="6" spans="2:29">
      <c r="B6" s="113"/>
      <c r="C6" s="110"/>
      <c r="D6" s="110"/>
      <c r="E6" s="110"/>
      <c r="F6" s="110"/>
      <c r="G6" s="110"/>
      <c r="H6" s="110"/>
      <c r="I6" s="110"/>
      <c r="J6" s="110"/>
      <c r="K6" s="110"/>
      <c r="L6" s="404"/>
      <c r="N6" s="113"/>
      <c r="O6" s="110"/>
      <c r="P6" s="110"/>
      <c r="Q6" s="110"/>
      <c r="R6" s="110"/>
      <c r="S6" s="110"/>
      <c r="T6" s="110"/>
      <c r="U6" s="404"/>
      <c r="W6" s="18" t="s">
        <v>61</v>
      </c>
      <c r="X6" s="19">
        <v>80.708073066036079</v>
      </c>
      <c r="Y6" s="20">
        <v>14.039404142658029</v>
      </c>
      <c r="Z6" s="20">
        <v>18.349823243790169</v>
      </c>
      <c r="AA6" s="20">
        <v>2.4255906172392971</v>
      </c>
      <c r="AB6" s="21">
        <v>115.52289106972357</v>
      </c>
      <c r="AC6" s="259"/>
    </row>
    <row r="7" spans="2:29">
      <c r="B7" s="113"/>
      <c r="C7" s="110" t="s">
        <v>2506</v>
      </c>
      <c r="D7" s="110"/>
      <c r="E7" s="110"/>
      <c r="F7" s="110"/>
      <c r="G7" s="110"/>
      <c r="H7" s="110"/>
      <c r="I7" s="110"/>
      <c r="J7" s="110"/>
      <c r="K7" s="110"/>
      <c r="L7" s="404"/>
      <c r="N7" s="113" t="s">
        <v>2511</v>
      </c>
      <c r="O7" s="110"/>
      <c r="P7" s="110"/>
      <c r="Q7" s="110"/>
      <c r="R7" s="110"/>
      <c r="S7" s="110"/>
      <c r="T7" s="110"/>
      <c r="U7" s="404"/>
      <c r="W7" s="18" t="s">
        <v>29</v>
      </c>
      <c r="X7" s="19">
        <v>22.537943411018276</v>
      </c>
      <c r="Y7" s="20">
        <v>7.4600919087197237</v>
      </c>
      <c r="Z7" s="20">
        <v>11.910069322611985</v>
      </c>
      <c r="AA7" s="20">
        <v>0.19567403295940422</v>
      </c>
      <c r="AB7" s="21">
        <v>42.103778675309385</v>
      </c>
      <c r="AC7" s="259"/>
    </row>
    <row r="8" spans="2:29">
      <c r="B8" s="113"/>
      <c r="C8" s="110"/>
      <c r="D8" s="110"/>
      <c r="E8" s="110">
        <v>6.5955552706746552</v>
      </c>
      <c r="F8" s="110">
        <v>3.9473487012674627E-2</v>
      </c>
      <c r="G8" s="110"/>
      <c r="H8" s="110">
        <v>9.4945540439189506E-3</v>
      </c>
      <c r="I8" s="110">
        <v>1.1039197981210277E-2</v>
      </c>
      <c r="J8" s="110">
        <v>4.4937252101583157E-3</v>
      </c>
      <c r="K8" s="110">
        <v>1.781243011634933E-2</v>
      </c>
      <c r="L8" s="404">
        <v>3.1166016056036451E-2</v>
      </c>
      <c r="N8" s="113">
        <v>0.67867581298577495</v>
      </c>
      <c r="O8" s="110">
        <v>1.7395947109962096E-4</v>
      </c>
      <c r="P8" s="110"/>
      <c r="Q8" s="110">
        <v>7.1260453001561108E-4</v>
      </c>
      <c r="R8" s="110">
        <v>8.6069673912864955E-4</v>
      </c>
      <c r="S8" s="110">
        <v>2.267261955663916E-4</v>
      </c>
      <c r="T8" s="110">
        <v>1.566736537513252E-3</v>
      </c>
      <c r="U8" s="404">
        <v>5.8607378440397641E-5</v>
      </c>
      <c r="W8" s="18" t="s">
        <v>62</v>
      </c>
      <c r="X8" s="19">
        <v>36.262625794595706</v>
      </c>
      <c r="Y8" s="20">
        <v>6.289257314723959</v>
      </c>
      <c r="Z8" s="20">
        <v>4.9638937352956187</v>
      </c>
      <c r="AA8" s="20">
        <v>1.3814728676009029</v>
      </c>
      <c r="AB8" s="21">
        <v>48.897249712216187</v>
      </c>
      <c r="AC8" s="259"/>
    </row>
    <row r="9" spans="2:29">
      <c r="B9" s="113"/>
      <c r="C9" s="110"/>
      <c r="D9" s="110"/>
      <c r="E9" s="110"/>
      <c r="F9" s="110"/>
      <c r="G9" s="110"/>
      <c r="H9" s="110"/>
      <c r="I9" s="110"/>
      <c r="J9" s="110"/>
      <c r="K9" s="110"/>
      <c r="L9" s="404"/>
      <c r="N9" s="113"/>
      <c r="O9" s="110"/>
      <c r="P9" s="110"/>
      <c r="Q9" s="110"/>
      <c r="R9" s="110"/>
      <c r="S9" s="110"/>
      <c r="T9" s="110"/>
      <c r="U9" s="404"/>
      <c r="W9" s="18" t="s">
        <v>31</v>
      </c>
      <c r="X9" s="19">
        <v>21.907503860422096</v>
      </c>
      <c r="Y9" s="20">
        <v>0.29005491921434579</v>
      </c>
      <c r="Z9" s="20">
        <v>1.4758601858825657</v>
      </c>
      <c r="AA9" s="20">
        <v>0.84844371667899021</v>
      </c>
      <c r="AB9" s="21">
        <v>24.521862682197998</v>
      </c>
      <c r="AC9" s="259"/>
    </row>
    <row r="10" spans="2:29">
      <c r="B10" s="113"/>
      <c r="C10" s="110" t="s">
        <v>2507</v>
      </c>
      <c r="D10" s="110"/>
      <c r="E10" s="110"/>
      <c r="F10" s="110"/>
      <c r="G10" s="110"/>
      <c r="H10" s="110"/>
      <c r="I10" s="110"/>
      <c r="J10" s="110"/>
      <c r="K10" s="110"/>
      <c r="L10" s="404"/>
      <c r="N10" s="113" t="s">
        <v>2512</v>
      </c>
      <c r="O10" s="110"/>
      <c r="P10" s="110"/>
      <c r="Q10" s="110"/>
      <c r="R10" s="110"/>
      <c r="S10" s="110"/>
      <c r="T10" s="110"/>
      <c r="U10" s="404"/>
      <c r="W10" s="25" t="s">
        <v>32</v>
      </c>
      <c r="X10" s="26">
        <v>6638481.8079950921</v>
      </c>
      <c r="Y10" s="27">
        <v>1245149.6249317541</v>
      </c>
      <c r="Z10" s="27">
        <v>1675349.6194182718</v>
      </c>
      <c r="AA10" s="27">
        <v>138897.05998965859</v>
      </c>
      <c r="AB10" s="28">
        <v>9697878.1123347785</v>
      </c>
      <c r="AC10" s="259"/>
    </row>
    <row r="11" spans="2:29" ht="15.75" thickBot="1">
      <c r="B11" s="405"/>
      <c r="C11" s="378"/>
      <c r="D11" s="378"/>
      <c r="E11" s="378">
        <v>5.9160287506209537</v>
      </c>
      <c r="F11" s="378">
        <v>3.4642139117715111E-2</v>
      </c>
      <c r="G11" s="378"/>
      <c r="H11" s="378">
        <v>8.6766511220948313E-3</v>
      </c>
      <c r="I11" s="378">
        <v>9.4136684768136233E-3</v>
      </c>
      <c r="J11" s="378">
        <v>3.8728185171478932E-3</v>
      </c>
      <c r="K11" s="378">
        <v>2.1499051273730276E-2</v>
      </c>
      <c r="L11" s="461">
        <v>3.0952461441055262E-2</v>
      </c>
      <c r="N11" s="113">
        <v>3.7582965582021428</v>
      </c>
      <c r="O11" s="110">
        <v>9.6333369922831482E-4</v>
      </c>
      <c r="P11" s="110"/>
      <c r="Q11" s="110">
        <v>3.9461832899783346E-3</v>
      </c>
      <c r="R11" s="110">
        <v>4.7662720999176256E-3</v>
      </c>
      <c r="S11" s="110">
        <v>1.2555394846070569E-3</v>
      </c>
      <c r="T11" s="110">
        <v>8.6761019383329845E-3</v>
      </c>
      <c r="U11" s="404">
        <v>3.2454951902406107E-4</v>
      </c>
      <c r="W11" s="32" t="s">
        <v>63</v>
      </c>
      <c r="X11" s="62">
        <v>6675265.836863677</v>
      </c>
      <c r="Y11" s="63">
        <v>1246093.0799481333</v>
      </c>
      <c r="Z11" s="63">
        <v>1676907.1452833232</v>
      </c>
      <c r="AA11" s="63">
        <v>138960.94798458077</v>
      </c>
      <c r="AB11" s="64">
        <v>9737227.0100797135</v>
      </c>
      <c r="AC11" s="259"/>
    </row>
    <row r="12" spans="2:29">
      <c r="B12" s="383" t="s">
        <v>2508</v>
      </c>
      <c r="C12" s="383"/>
      <c r="D12" s="383"/>
      <c r="E12" s="383"/>
      <c r="F12" s="383"/>
      <c r="G12" s="383"/>
      <c r="H12" s="383"/>
      <c r="I12" s="383"/>
      <c r="J12" s="383"/>
      <c r="K12" s="383"/>
      <c r="L12" s="383"/>
      <c r="N12" s="113"/>
      <c r="O12" s="110"/>
      <c r="P12" s="110"/>
      <c r="Q12" s="110"/>
      <c r="R12" s="110"/>
      <c r="S12" s="110"/>
      <c r="T12" s="110"/>
      <c r="U12" s="404"/>
      <c r="W12" s="18" t="s">
        <v>33</v>
      </c>
      <c r="X12" s="19">
        <v>11305.702510991954</v>
      </c>
      <c r="Y12" s="20">
        <v>2032.4485342002472</v>
      </c>
      <c r="Z12" s="20">
        <v>2414.1192891781625</v>
      </c>
      <c r="AA12" s="20">
        <v>322.75154143797545</v>
      </c>
      <c r="AB12" s="21">
        <v>16075.021875808339</v>
      </c>
      <c r="AC12" s="259"/>
    </row>
    <row r="13" spans="2:29">
      <c r="B13" s="383"/>
      <c r="C13" s="383"/>
      <c r="D13" s="383"/>
      <c r="E13" s="383"/>
      <c r="F13" s="383"/>
      <c r="G13" s="383"/>
      <c r="H13" s="383"/>
      <c r="I13" s="383"/>
      <c r="J13" s="383"/>
      <c r="K13" s="383"/>
      <c r="L13" s="383"/>
      <c r="N13" s="113" t="s">
        <v>2513</v>
      </c>
      <c r="O13" s="110"/>
      <c r="P13" s="110"/>
      <c r="Q13" s="110"/>
      <c r="R13" s="110"/>
      <c r="S13" s="110"/>
      <c r="T13" s="110"/>
      <c r="U13" s="404"/>
      <c r="W13" s="18" t="s">
        <v>34</v>
      </c>
      <c r="X13" s="19">
        <v>71.7347519451409</v>
      </c>
      <c r="Y13" s="20">
        <v>17.035110192024042</v>
      </c>
      <c r="Z13" s="20">
        <v>21.494643284834581</v>
      </c>
      <c r="AA13" s="20">
        <v>1.4283496908590227</v>
      </c>
      <c r="AB13" s="21">
        <v>111.69285511285855</v>
      </c>
      <c r="AC13" s="259"/>
    </row>
    <row r="14" spans="2:29">
      <c r="B14" s="383"/>
      <c r="C14" s="383"/>
      <c r="D14" s="383"/>
      <c r="E14" s="383"/>
      <c r="F14" s="383"/>
      <c r="G14" s="383"/>
      <c r="H14" s="383"/>
      <c r="I14" s="383"/>
      <c r="J14" s="383"/>
      <c r="K14" s="383"/>
      <c r="L14" s="383"/>
      <c r="N14" s="113">
        <v>3.4562292665943038E-2</v>
      </c>
      <c r="O14" s="110">
        <v>1.7824476142232298E-5</v>
      </c>
      <c r="P14" s="110"/>
      <c r="Q14" s="110">
        <v>5.8699917058057451E-5</v>
      </c>
      <c r="R14" s="110">
        <v>1.1925152399877208E-4</v>
      </c>
      <c r="S14" s="110">
        <v>4.3971606623242025E-5</v>
      </c>
      <c r="T14" s="110">
        <v>4.4558549189095844E-4</v>
      </c>
      <c r="U14" s="404">
        <v>7.2014557823317806E-6</v>
      </c>
      <c r="W14" s="39" t="s">
        <v>35</v>
      </c>
      <c r="X14" s="40">
        <v>6979285.3557181275</v>
      </c>
      <c r="Y14" s="41">
        <v>1301980.7561403627</v>
      </c>
      <c r="Z14" s="41">
        <v>1743665.5312116579</v>
      </c>
      <c r="AA14" s="41">
        <v>147455.38472840615</v>
      </c>
      <c r="AB14" s="65">
        <v>10172387.027798554</v>
      </c>
      <c r="AC14" s="475">
        <f t="shared" ref="AC14:AC20" si="0">AB14/1000000</f>
        <v>10.172387027798553</v>
      </c>
    </row>
    <row r="15" spans="2:29">
      <c r="B15" s="383"/>
      <c r="C15" s="383"/>
      <c r="D15" s="383"/>
      <c r="E15" s="383"/>
      <c r="F15" s="383"/>
      <c r="G15" s="383"/>
      <c r="H15" s="383"/>
      <c r="I15" s="383"/>
      <c r="J15" s="383"/>
      <c r="K15" s="383"/>
      <c r="L15" s="383"/>
      <c r="N15" s="113"/>
      <c r="O15" s="110"/>
      <c r="P15" s="110"/>
      <c r="Q15" s="110"/>
      <c r="R15" s="110"/>
      <c r="S15" s="110"/>
      <c r="T15" s="110"/>
      <c r="U15" s="404"/>
      <c r="W15" s="4" t="s">
        <v>36</v>
      </c>
      <c r="X15" s="45">
        <v>1476.8608509419996</v>
      </c>
      <c r="Y15" s="46">
        <v>2250.5960394741396</v>
      </c>
      <c r="Z15" s="46">
        <v>165.25704011921189</v>
      </c>
      <c r="AA15" s="46">
        <v>28906.72678854156</v>
      </c>
      <c r="AB15" s="47">
        <v>32799.440719076913</v>
      </c>
      <c r="AC15" s="259">
        <f t="shared" si="0"/>
        <v>3.2799440719076915E-2</v>
      </c>
    </row>
    <row r="16" spans="2:29">
      <c r="B16" s="383"/>
      <c r="C16" s="383"/>
      <c r="D16" s="383"/>
      <c r="E16" s="383"/>
      <c r="F16" s="383"/>
      <c r="G16" s="383"/>
      <c r="H16" s="383"/>
      <c r="I16" s="383"/>
      <c r="J16" s="383"/>
      <c r="K16" s="383"/>
      <c r="L16" s="383"/>
      <c r="N16" s="113" t="s">
        <v>2514</v>
      </c>
      <c r="O16" s="110"/>
      <c r="P16" s="110"/>
      <c r="Q16" s="110"/>
      <c r="R16" s="110"/>
      <c r="S16" s="110"/>
      <c r="T16" s="110"/>
      <c r="U16" s="404"/>
      <c r="W16" s="5" t="s">
        <v>37</v>
      </c>
      <c r="X16" s="19">
        <v>32456.496060516471</v>
      </c>
      <c r="Y16" s="20">
        <v>832.46030856983202</v>
      </c>
      <c r="Z16" s="20">
        <v>1374.2875279866166</v>
      </c>
      <c r="AA16" s="20">
        <v>56.371760225457649</v>
      </c>
      <c r="AB16" s="21">
        <v>34719.615657298367</v>
      </c>
      <c r="AC16" s="259">
        <f t="shared" si="0"/>
        <v>3.4719615657298364E-2</v>
      </c>
    </row>
    <row r="17" spans="2:29">
      <c r="B17" s="383"/>
      <c r="C17" s="383"/>
      <c r="D17" s="383"/>
      <c r="E17" s="383"/>
      <c r="F17" s="383"/>
      <c r="G17" s="383"/>
      <c r="H17" s="383"/>
      <c r="I17" s="383"/>
      <c r="J17" s="383"/>
      <c r="K17" s="383"/>
      <c r="L17" s="383"/>
      <c r="N17" s="113">
        <v>0.75149216581835632</v>
      </c>
      <c r="O17" s="110">
        <v>9.1583728221890099E-4</v>
      </c>
      <c r="P17" s="110"/>
      <c r="Q17" s="110">
        <v>8.4927430994775021E-4</v>
      </c>
      <c r="R17" s="110">
        <v>1.0114337876365568E-3</v>
      </c>
      <c r="S17" s="110">
        <v>3.131238691433164E-4</v>
      </c>
      <c r="T17" s="110">
        <v>1.0530845884485872E-2</v>
      </c>
      <c r="U17" s="404">
        <v>7.7629891651669991E-5</v>
      </c>
      <c r="W17" s="5" t="s">
        <v>38</v>
      </c>
      <c r="X17" s="19">
        <v>8351.2265116293602</v>
      </c>
      <c r="Y17" s="20">
        <v>4268.2613925400274</v>
      </c>
      <c r="Z17" s="20">
        <v>1853.9529856201425</v>
      </c>
      <c r="AA17" s="20">
        <v>243.82477633278555</v>
      </c>
      <c r="AB17" s="21">
        <v>14717.265666122315</v>
      </c>
      <c r="AC17" s="259">
        <f t="shared" si="0"/>
        <v>1.4717265666122316E-2</v>
      </c>
    </row>
    <row r="18" spans="2:29">
      <c r="B18" s="383"/>
      <c r="C18" s="383"/>
      <c r="D18" s="383"/>
      <c r="E18" s="383"/>
      <c r="F18" s="383"/>
      <c r="G18" s="383"/>
      <c r="H18" s="383"/>
      <c r="I18" s="383"/>
      <c r="J18" s="383"/>
      <c r="K18" s="383"/>
      <c r="L18" s="383"/>
      <c r="N18" s="113"/>
      <c r="O18" s="110"/>
      <c r="P18" s="110"/>
      <c r="Q18" s="110"/>
      <c r="R18" s="110"/>
      <c r="S18" s="110"/>
      <c r="T18" s="110"/>
      <c r="U18" s="404"/>
      <c r="W18" s="5" t="s">
        <v>39</v>
      </c>
      <c r="X18" s="19">
        <v>9759.265559231826</v>
      </c>
      <c r="Y18" s="20">
        <v>2486.2697100293062</v>
      </c>
      <c r="Z18" s="20">
        <v>2322.8455226509504</v>
      </c>
      <c r="AA18" s="20">
        <v>82.991750577883863</v>
      </c>
      <c r="AB18" s="21">
        <v>14651.372542489966</v>
      </c>
      <c r="AC18" s="259">
        <f t="shared" si="0"/>
        <v>1.4651372542489965E-2</v>
      </c>
    </row>
    <row r="19" spans="2:29">
      <c r="B19" s="383"/>
      <c r="C19" s="383"/>
      <c r="D19" s="383"/>
      <c r="E19" s="383"/>
      <c r="F19" s="383"/>
      <c r="G19" s="383"/>
      <c r="H19" s="383"/>
      <c r="I19" s="383"/>
      <c r="J19" s="383"/>
      <c r="K19" s="383"/>
      <c r="L19" s="383"/>
      <c r="N19" s="113" t="s">
        <v>2515</v>
      </c>
      <c r="O19" s="110"/>
      <c r="P19" s="110"/>
      <c r="Q19" s="110"/>
      <c r="R19" s="110"/>
      <c r="S19" s="110"/>
      <c r="T19" s="110"/>
      <c r="U19" s="404"/>
      <c r="W19" s="5" t="s">
        <v>40</v>
      </c>
      <c r="X19" s="19">
        <v>4119.6956071627319</v>
      </c>
      <c r="Y19" s="20">
        <v>935.79034837382881</v>
      </c>
      <c r="Z19" s="20">
        <v>669.05240661404332</v>
      </c>
      <c r="AA19" s="20">
        <v>43.17655420181481</v>
      </c>
      <c r="AB19" s="21">
        <v>5767.7149163524191</v>
      </c>
      <c r="AC19" s="259">
        <f t="shared" si="0"/>
        <v>5.7677149163524195E-3</v>
      </c>
    </row>
    <row r="20" spans="2:29" ht="15.75" thickBot="1">
      <c r="B20" s="383"/>
      <c r="C20" s="383"/>
      <c r="D20" s="383"/>
      <c r="E20" s="383"/>
      <c r="F20" s="383"/>
      <c r="G20" s="383"/>
      <c r="H20" s="383"/>
      <c r="I20" s="383"/>
      <c r="J20" s="383"/>
      <c r="K20" s="383"/>
      <c r="L20" s="383"/>
      <c r="N20" s="405">
        <v>11.244954155120212</v>
      </c>
      <c r="O20" s="378">
        <v>3.2619374457889378E-3</v>
      </c>
      <c r="P20" s="378"/>
      <c r="Q20" s="378">
        <v>1.3173695606706707E-2</v>
      </c>
      <c r="R20" s="378">
        <v>1.6343968566577778E-2</v>
      </c>
      <c r="S20" s="378">
        <v>5.3934495911464519E-3</v>
      </c>
      <c r="T20" s="378">
        <v>7.0764257775071698E-2</v>
      </c>
      <c r="U20" s="461">
        <v>1.0768889336150852E-3</v>
      </c>
      <c r="W20" s="48" t="s">
        <v>41</v>
      </c>
      <c r="X20" s="49">
        <v>23711.869987993869</v>
      </c>
      <c r="Y20" s="50">
        <v>5950.9316544297535</v>
      </c>
      <c r="Z20" s="50">
        <v>15318.65354481676</v>
      </c>
      <c r="AA20" s="50">
        <v>248.37482073474064</v>
      </c>
      <c r="AB20" s="51">
        <v>45229.830007975121</v>
      </c>
      <c r="AC20" s="259">
        <f t="shared" si="0"/>
        <v>4.5229830007975119E-2</v>
      </c>
    </row>
    <row r="21" spans="2:29" ht="15.75" thickBot="1">
      <c r="B21" s="383"/>
      <c r="N21" s="383" t="s">
        <v>2548</v>
      </c>
      <c r="O21" s="110"/>
      <c r="P21" s="110"/>
      <c r="Q21" s="110"/>
      <c r="R21" s="110"/>
      <c r="S21" s="110"/>
      <c r="T21" s="110"/>
      <c r="U21" s="110"/>
      <c r="W21" s="5" t="s">
        <v>42</v>
      </c>
      <c r="X21" s="19">
        <v>511.25827473624446</v>
      </c>
      <c r="Y21" s="20">
        <v>5.8814860266991289</v>
      </c>
      <c r="Z21" s="20">
        <v>33.096286358779814</v>
      </c>
      <c r="AA21" s="20">
        <v>17812.866204839738</v>
      </c>
      <c r="AB21" s="21">
        <v>18363.102251961463</v>
      </c>
      <c r="AC21" s="259"/>
    </row>
    <row r="22" spans="2:29" ht="15.75" thickBot="1">
      <c r="B22" s="478" t="s">
        <v>2520</v>
      </c>
      <c r="C22" s="479"/>
      <c r="D22" s="479"/>
      <c r="E22" s="479"/>
      <c r="F22" s="479"/>
      <c r="G22" s="479"/>
      <c r="H22" s="479"/>
      <c r="I22" s="479"/>
      <c r="J22" s="479"/>
      <c r="K22" s="480"/>
      <c r="W22" s="5" t="s">
        <v>43</v>
      </c>
      <c r="X22" s="19">
        <v>223.99890085288143</v>
      </c>
      <c r="Y22" s="20">
        <v>48.292338666021358</v>
      </c>
      <c r="Z22" s="20">
        <v>81.840286307973329</v>
      </c>
      <c r="AA22" s="20">
        <v>7.672356818445679</v>
      </c>
      <c r="AB22" s="21">
        <v>361.80388264532178</v>
      </c>
      <c r="AC22" s="259"/>
    </row>
    <row r="23" spans="2:29" ht="30.75" thickBot="1">
      <c r="B23" s="492"/>
      <c r="C23" s="497" t="s">
        <v>19</v>
      </c>
      <c r="D23" s="498" t="s">
        <v>218</v>
      </c>
      <c r="E23" s="498" t="s">
        <v>100</v>
      </c>
      <c r="F23" s="498" t="s">
        <v>18</v>
      </c>
      <c r="G23" s="498" t="s">
        <v>16</v>
      </c>
      <c r="H23" s="498" t="s">
        <v>17</v>
      </c>
      <c r="I23" s="498" t="s">
        <v>14</v>
      </c>
      <c r="J23" s="499" t="s">
        <v>2528</v>
      </c>
      <c r="K23" s="500" t="s">
        <v>48</v>
      </c>
      <c r="W23" s="5" t="s">
        <v>44</v>
      </c>
      <c r="X23" s="19">
        <v>719.90060458452388</v>
      </c>
      <c r="Y23" s="20">
        <v>165.25782912484081</v>
      </c>
      <c r="Z23" s="20">
        <v>277.41165619632818</v>
      </c>
      <c r="AA23" s="20">
        <v>28.730726174609696</v>
      </c>
      <c r="AB23" s="21">
        <v>1191.3008160803026</v>
      </c>
      <c r="AC23" s="259"/>
    </row>
    <row r="24" spans="2:29">
      <c r="B24" s="448" t="s">
        <v>2215</v>
      </c>
      <c r="C24" s="470">
        <f>(F5+F8+O5+O14)*'2- Key Assumptions'!$C$57</f>
        <v>17.874152881926367</v>
      </c>
      <c r="D24" s="275"/>
      <c r="E24" s="275">
        <f>(H5+H8+Q5+Q14)*'2- Key Assumptions'!$C$58</f>
        <v>30.94435835210485</v>
      </c>
      <c r="F24" s="275">
        <f>(I5+I8+R5+R14)*'2- Key Assumptions'!$C$59</f>
        <v>62.397279992576962</v>
      </c>
      <c r="G24" s="275">
        <f>(J5+J8+S5+S14)*'2- Key Assumptions'!$C$60</f>
        <v>166.56987523887713</v>
      </c>
      <c r="H24" s="275">
        <f>(K5+K8+T5+T14)*'2- Key Assumptions'!$C$61</f>
        <v>279.98333712299058</v>
      </c>
      <c r="I24" s="275">
        <f>(L5+L8+U5+U14)*'2- Key Assumptions'!$C$62</f>
        <v>79.25655229535549</v>
      </c>
      <c r="J24" s="481">
        <f>SUM(C24:I24)</f>
        <v>637.02555588383143</v>
      </c>
      <c r="K24" s="469">
        <f>(E5+E8+N5+N14)*SCC</f>
        <v>186.97573449434299</v>
      </c>
      <c r="L24" s="383" t="s">
        <v>2518</v>
      </c>
      <c r="W24" s="5" t="s">
        <v>45</v>
      </c>
      <c r="X24" s="19">
        <v>112.2541086763689</v>
      </c>
      <c r="Y24" s="20">
        <v>10.591981124334028</v>
      </c>
      <c r="Z24" s="20">
        <v>21.126125132973932</v>
      </c>
      <c r="AA24" s="20">
        <v>7.5658539255296464</v>
      </c>
      <c r="AB24" s="21">
        <v>151.5380688592065</v>
      </c>
      <c r="AC24" s="259"/>
    </row>
    <row r="25" spans="2:29">
      <c r="B25" s="113"/>
      <c r="C25" s="471"/>
      <c r="D25" s="472"/>
      <c r="E25" s="472"/>
      <c r="F25" s="472"/>
      <c r="G25" s="472"/>
      <c r="H25" s="472"/>
      <c r="I25" s="472"/>
      <c r="J25" s="259"/>
      <c r="K25" s="404"/>
      <c r="W25" s="5" t="s">
        <v>46</v>
      </c>
      <c r="X25" s="19">
        <v>51.637966828775824</v>
      </c>
      <c r="Y25" s="20">
        <v>6.2869834135972855</v>
      </c>
      <c r="Z25" s="20">
        <v>11.798068055134499</v>
      </c>
      <c r="AA25" s="20">
        <v>4.3735305466545507</v>
      </c>
      <c r="AB25" s="21">
        <v>74.096548844162157</v>
      </c>
      <c r="AC25" s="259"/>
    </row>
    <row r="26" spans="2:29" ht="15.75" thickBot="1">
      <c r="B26" s="240" t="s">
        <v>125</v>
      </c>
      <c r="C26" s="471">
        <f>(F5+F11+O8/2+O17/2)*'2- Key Assumptions'!$C$57</f>
        <v>15.909038732859136</v>
      </c>
      <c r="D26" s="472"/>
      <c r="E26" s="472">
        <f>(H5+H11+Q8/2+Q17/2)*'2- Key Assumptions'!$C$58</f>
        <v>29.781059077501013</v>
      </c>
      <c r="F26" s="472">
        <f>(I5+I11+R8/2+R17/2)*'2- Key Assumptions'!$C$59</f>
        <v>56.498001927923362</v>
      </c>
      <c r="G26" s="472">
        <f>(J5+J11+S8/2+S17/2)*'2- Key Assumptions'!$C$60</f>
        <v>150.32614080796975</v>
      </c>
      <c r="H26" s="472">
        <f>(K5+K11+T8/2+T17/2)*'2- Key Assumptions'!$C$61</f>
        <v>388.3281885136991</v>
      </c>
      <c r="I26" s="472">
        <f>(L5+L11+U8/2+U17/2)*'2- Key Assumptions'!$C$62</f>
        <v>78.819938359254564</v>
      </c>
      <c r="J26" s="482">
        <f>SUM(C26:I26)</f>
        <v>719.66236741920693</v>
      </c>
      <c r="K26" s="465">
        <f>(E5+E11+N8/2+N17/2)*SCC</f>
        <v>179.01941194249196</v>
      </c>
      <c r="L26" s="383" t="s">
        <v>2500</v>
      </c>
      <c r="W26" s="55" t="s">
        <v>47</v>
      </c>
      <c r="X26" s="56">
        <v>1046.4992861825124</v>
      </c>
      <c r="Y26" s="57">
        <v>354.108404212658</v>
      </c>
      <c r="Z26" s="57">
        <v>575.83840094970856</v>
      </c>
      <c r="AA26" s="57">
        <v>34.317323665975977</v>
      </c>
      <c r="AB26" s="58">
        <v>2010.7634150108547</v>
      </c>
      <c r="AC26" s="476"/>
    </row>
    <row r="27" spans="2:29">
      <c r="B27" s="113"/>
      <c r="C27" s="471"/>
      <c r="D27" s="472"/>
      <c r="E27" s="472"/>
      <c r="F27" s="472"/>
      <c r="G27" s="472"/>
      <c r="H27" s="472"/>
      <c r="I27" s="472"/>
      <c r="J27" s="259"/>
      <c r="K27" s="404"/>
      <c r="W27" s="5" t="s">
        <v>2517</v>
      </c>
    </row>
    <row r="28" spans="2:29">
      <c r="B28" s="240" t="s">
        <v>2210</v>
      </c>
      <c r="C28" s="471">
        <f>(F5+F11+O11+O20)*'2- Key Assumptions'!$C$57</f>
        <v>17.556076354463464</v>
      </c>
      <c r="D28" s="472"/>
      <c r="E28" s="472">
        <f>(H5+H11+Q11+Q20)*'2- Key Assumptions'!$C$58</f>
        <v>71.883380151528385</v>
      </c>
      <c r="F28" s="472">
        <f>(I5+I11+R11+R20)*'2- Key Assumptions'!$C$59</f>
        <v>152.59712053543925</v>
      </c>
      <c r="G28" s="472">
        <f>(J5+J11+S11+S20)*'2- Key Assumptions'!$C$60</f>
        <v>354.24108738856523</v>
      </c>
      <c r="H28" s="472">
        <f>(K5+K11+T11+T20)*'2- Key Assumptions'!$C$61</f>
        <v>1322.9754323142974</v>
      </c>
      <c r="I28" s="472">
        <f>(L5+L11+U11+U20)*'2- Key Assumptions'!$C$62</f>
        <v>82.020324477226424</v>
      </c>
      <c r="J28" s="482">
        <f>SUM(C28:I28)</f>
        <v>2001.2734212215203</v>
      </c>
      <c r="K28" s="465">
        <f>(E5+E11+N11+N20)*SCC</f>
        <v>515.5026147107551</v>
      </c>
    </row>
    <row r="29" spans="2:29">
      <c r="B29" s="240"/>
      <c r="C29" s="113"/>
      <c r="D29" s="110"/>
      <c r="E29" s="110"/>
      <c r="F29" s="110"/>
      <c r="G29" s="110"/>
      <c r="H29" s="110"/>
      <c r="I29" s="110"/>
      <c r="J29" s="259"/>
      <c r="K29" s="465"/>
    </row>
    <row r="30" spans="2:29" ht="15.75" thickBot="1">
      <c r="B30" s="447" t="s">
        <v>2216</v>
      </c>
      <c r="C30" s="468">
        <f>'9-External Costs- Assembly'!AC16*'2- Key Assumptions'!C57</f>
        <v>15.537695987443682</v>
      </c>
      <c r="D30" s="378"/>
      <c r="E30" s="466">
        <f>'9-External Costs- Assembly'!AC17*'2- Key Assumptions'!C58</f>
        <v>37.923577921953438</v>
      </c>
      <c r="F30" s="466">
        <f>'9-External Costs- Assembly'!AC18*'2- Key Assumptions'!C59</f>
        <v>69.791402106397754</v>
      </c>
      <c r="G30" s="466">
        <f>'9-External Costs- Assembly'!AC19*'2- Key Assumptions'!C60</f>
        <v>184.37238928134184</v>
      </c>
      <c r="H30" s="466">
        <f>'9-External Costs- Assembly'!AC20*'2- Key Assumptions'!C61</f>
        <v>576.00534798678109</v>
      </c>
      <c r="I30" s="466">
        <f>'9-External Costs- Assembly'!AC15*'2- Key Assumptions'!C62</f>
        <v>78.728954125999735</v>
      </c>
      <c r="J30" s="496">
        <f>SUM(C30:I30)</f>
        <v>962.35936740991747</v>
      </c>
      <c r="K30" s="467">
        <f>('9-External Costs- Assembly'!$AC$14*SCC)</f>
        <v>239.55749068785053</v>
      </c>
    </row>
    <row r="31" spans="2:29">
      <c r="B31" s="464"/>
      <c r="C31" s="110"/>
      <c r="D31" s="110"/>
      <c r="E31" s="110"/>
      <c r="F31" s="110"/>
      <c r="G31" s="110"/>
      <c r="H31" s="110"/>
      <c r="I31" s="110"/>
      <c r="J31" s="110"/>
      <c r="K31" s="111"/>
    </row>
    <row r="32" spans="2:29">
      <c r="J32" s="109"/>
    </row>
  </sheetData>
  <mergeCells count="1">
    <mergeCell ref="X3:AB3"/>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sheetPr>
    <tabColor rgb="FFC00000"/>
  </sheetPr>
  <dimension ref="A1:R49"/>
  <sheetViews>
    <sheetView workbookViewId="0">
      <selection activeCell="F27" sqref="F27"/>
    </sheetView>
  </sheetViews>
  <sheetFormatPr defaultColWidth="8.85546875" defaultRowHeight="15"/>
  <cols>
    <col min="3" max="3" width="11.42578125" bestFit="1" customWidth="1"/>
    <col min="9" max="9" width="8.42578125" customWidth="1"/>
    <col min="15" max="15" width="14.140625" customWidth="1"/>
    <col min="16" max="16" width="14.85546875" customWidth="1"/>
    <col min="17" max="17" width="13.28515625" bestFit="1" customWidth="1"/>
  </cols>
  <sheetData>
    <row r="1" spans="1:18">
      <c r="A1" s="3" t="s">
        <v>95</v>
      </c>
    </row>
    <row r="2" spans="1:18" ht="15.75" thickBot="1"/>
    <row r="3" spans="1:18">
      <c r="A3" s="201"/>
      <c r="B3" s="210" t="s">
        <v>14</v>
      </c>
      <c r="C3" s="202" t="s">
        <v>19</v>
      </c>
      <c r="D3" s="202" t="s">
        <v>2220</v>
      </c>
      <c r="E3" s="202" t="s">
        <v>18</v>
      </c>
      <c r="F3" s="202" t="s">
        <v>16</v>
      </c>
      <c r="G3" s="202" t="s">
        <v>2221</v>
      </c>
      <c r="H3" s="202"/>
      <c r="I3" s="203" t="s">
        <v>48</v>
      </c>
    </row>
    <row r="4" spans="1:18" ht="15.75" customHeight="1" thickBot="1">
      <c r="A4" s="114" t="s">
        <v>25</v>
      </c>
      <c r="B4" s="115"/>
      <c r="C4" s="115"/>
      <c r="D4" s="115"/>
      <c r="E4" s="115"/>
      <c r="F4" s="115"/>
      <c r="G4" s="115"/>
      <c r="H4" s="115"/>
      <c r="I4" s="116"/>
      <c r="K4" s="86" t="s">
        <v>20</v>
      </c>
      <c r="L4" s="87"/>
      <c r="M4" s="87"/>
      <c r="N4" s="87"/>
    </row>
    <row r="5" spans="1:18" ht="15.75" customHeight="1" thickBot="1">
      <c r="A5" s="118">
        <v>1</v>
      </c>
      <c r="B5" s="111">
        <f>($O$16*'2- Key Assumptions'!$C$66*LIFETIME_MILES/LIFETIME_YEARS)/(1+DISCOUNT_RATE)^A5</f>
        <v>13.07894220768223</v>
      </c>
      <c r="C5" s="111">
        <f>($O$17*'2- Key Assumptions'!$C$67*LIFETIME_MILES/LIFETIME_YEARS)/(1+DISCOUNT_RATE)^A5</f>
        <v>37.186443404509461</v>
      </c>
      <c r="D5" s="111">
        <f>($O$18*'2- Key Assumptions'!$C$68*LIFETIME_MILES/LIFETIME_YEARS)/(1+DISCOUNT_RATE)^A5</f>
        <v>2.8570311784278601</v>
      </c>
      <c r="E5" s="111">
        <f>($O$19*'2- Key Assumptions'!$C$69*LIFETIME_MILES/LIFETIME_YEARS)/(1+DISCOUNT_RATE)^A5</f>
        <v>4.0026251086517455</v>
      </c>
      <c r="F5" s="111">
        <f>($O$20*'2- Key Assumptions'!$C$70*LIFETIME_MILES/LIFETIME_YEARS)/(1+DISCOUNT_RATE)^A5</f>
        <v>13.492548080998509</v>
      </c>
      <c r="G5" s="111">
        <f>($O$21*'2- Key Assumptions'!$C$71*LIFETIME_MILES/LIFETIME_YEARS)/(1+DISCOUNT_RATE)^A5</f>
        <v>1.7789579941219282</v>
      </c>
      <c r="H5" s="110"/>
      <c r="I5" s="204">
        <f t="shared" ref="I5:I16" si="0">($O$15*SCC*LIFETIME_MILES/LIFETIME_YEARS)/(1+DISCOUNT_RATE)^A5</f>
        <v>102.16592567753683</v>
      </c>
      <c r="K5" s="293"/>
      <c r="L5" s="88" t="s">
        <v>21</v>
      </c>
      <c r="M5" s="89"/>
      <c r="N5" s="90"/>
      <c r="O5" s="491" t="s">
        <v>2522</v>
      </c>
    </row>
    <row r="6" spans="1:18" ht="16.5" customHeight="1">
      <c r="A6" s="118">
        <v>2</v>
      </c>
      <c r="B6" s="111">
        <f>($O$16*'2- Key Assumptions'!$C$66*LIFETIME_MILES/LIFETIME_YEARS)/(1+DISCOUNT_RATE)^A6</f>
        <v>12.57590596892522</v>
      </c>
      <c r="C6" s="111">
        <f>($O$17*'2- Key Assumptions'!$C$67*LIFETIME_MILES/LIFETIME_YEARS)/(1+DISCOUNT_RATE)^A6</f>
        <v>35.756195581259099</v>
      </c>
      <c r="D6" s="111">
        <f>($O$18*'2- Key Assumptions'!$C$68*LIFETIME_MILES/LIFETIME_YEARS)/(1+DISCOUNT_RATE)^A6</f>
        <v>2.7471453638729422</v>
      </c>
      <c r="E6" s="111">
        <f>($O$19*'2- Key Assumptions'!$C$69*LIFETIME_MILES/LIFETIME_YEARS)/(1+DISCOUNT_RATE)^A6</f>
        <v>3.8486779890882166</v>
      </c>
      <c r="F6" s="111">
        <f>($O$20*'2- Key Assumptions'!$C$70*LIFETIME_MILES/LIFETIME_YEARS)/(1+DISCOUNT_RATE)^A6</f>
        <v>12.973603924037025</v>
      </c>
      <c r="G6" s="111">
        <f>($O$21*'2- Key Assumptions'!$C$71*LIFETIME_MILES/LIFETIME_YEARS)/(1+DISCOUNT_RATE)^A6</f>
        <v>1.7105365328095463</v>
      </c>
      <c r="H6" s="110"/>
      <c r="I6" s="204">
        <f t="shared" si="0"/>
        <v>98.236466997631567</v>
      </c>
      <c r="K6" s="91" t="s">
        <v>22</v>
      </c>
      <c r="L6" s="92" t="s">
        <v>23</v>
      </c>
      <c r="M6" s="93" t="s">
        <v>24</v>
      </c>
      <c r="N6" s="94" t="s">
        <v>25</v>
      </c>
      <c r="O6" s="483" t="s">
        <v>25</v>
      </c>
    </row>
    <row r="7" spans="1:18">
      <c r="A7" s="118">
        <v>3</v>
      </c>
      <c r="B7" s="111">
        <f>($O$16*'2- Key Assumptions'!$C$66*LIFETIME_MILES/LIFETIME_YEARS)/(1+DISCOUNT_RATE)^A7</f>
        <v>12.092217277812713</v>
      </c>
      <c r="C7" s="111">
        <f>($O$17*'2- Key Assumptions'!$C$67*LIFETIME_MILES/LIFETIME_YEARS)/(1+DISCOUNT_RATE)^A7</f>
        <v>34.38095728967221</v>
      </c>
      <c r="D7" s="111">
        <f>($O$18*'2- Key Assumptions'!$C$68*LIFETIME_MILES/LIFETIME_YEARS)/(1+DISCOUNT_RATE)^A7</f>
        <v>2.6414859268009061</v>
      </c>
      <c r="E7" s="111">
        <f>($O$19*'2- Key Assumptions'!$C$69*LIFETIME_MILES/LIFETIME_YEARS)/(1+DISCOUNT_RATE)^A7</f>
        <v>3.7006519125848238</v>
      </c>
      <c r="F7" s="111">
        <f>($O$20*'2- Key Assumptions'!$C$70*LIFETIME_MILES/LIFETIME_YEARS)/(1+DISCOUNT_RATE)^A7</f>
        <v>12.47461915772791</v>
      </c>
      <c r="G7" s="111">
        <f>($O$21*'2- Key Assumptions'!$C$71*LIFETIME_MILES/LIFETIME_YEARS)/(1+DISCOUNT_RATE)^A7</f>
        <v>1.6447466661630255</v>
      </c>
      <c r="H7" s="110"/>
      <c r="I7" s="204">
        <f t="shared" si="0"/>
        <v>94.458141343876505</v>
      </c>
      <c r="K7" s="95" t="s">
        <v>27</v>
      </c>
      <c r="L7" s="96">
        <v>301.99462332950355</v>
      </c>
      <c r="M7" s="97">
        <v>716.29100587314269</v>
      </c>
      <c r="N7" s="291">
        <v>4649.2577338763613</v>
      </c>
      <c r="O7" s="259"/>
    </row>
    <row r="8" spans="1:18">
      <c r="A8" s="118">
        <v>4</v>
      </c>
      <c r="B8" s="111">
        <f>($O$16*'2- Key Assumptions'!$C$66*LIFETIME_MILES/LIFETIME_YEARS)/(1+DISCOUNT_RATE)^A8</f>
        <v>11.627131997896837</v>
      </c>
      <c r="C8" s="111">
        <f>($O$17*'2- Key Assumptions'!$C$67*LIFETIME_MILES/LIFETIME_YEARS)/(1+DISCOUNT_RATE)^A8</f>
        <v>33.058612778530964</v>
      </c>
      <c r="D8" s="111">
        <f>($O$18*'2- Key Assumptions'!$C$68*LIFETIME_MILES/LIFETIME_YEARS)/(1+DISCOUNT_RATE)^A8</f>
        <v>2.53989031423164</v>
      </c>
      <c r="E8" s="111">
        <f>($O$19*'2- Key Assumptions'!$C$69*LIFETIME_MILES/LIFETIME_YEARS)/(1+DISCOUNT_RATE)^A8</f>
        <v>3.5583191467161761</v>
      </c>
      <c r="F8" s="111">
        <f>($O$20*'2- Key Assumptions'!$C$70*LIFETIME_MILES/LIFETIME_YEARS)/(1+DISCOUNT_RATE)^A8</f>
        <v>11.994826113199913</v>
      </c>
      <c r="G8" s="111">
        <f>($O$21*'2- Key Assumptions'!$C$71*LIFETIME_MILES/LIFETIME_YEARS)/(1+DISCOUNT_RATE)^A8</f>
        <v>1.5814871790029088</v>
      </c>
      <c r="H8" s="110"/>
      <c r="I8" s="204">
        <f t="shared" si="0"/>
        <v>90.825135907573554</v>
      </c>
      <c r="K8" s="98" t="s">
        <v>28</v>
      </c>
      <c r="L8" s="99">
        <v>293.70346953342141</v>
      </c>
      <c r="M8" s="100">
        <v>660.60099876272295</v>
      </c>
      <c r="N8" s="292">
        <v>4591.4884800500067</v>
      </c>
      <c r="O8" s="259"/>
    </row>
    <row r="9" spans="1:18">
      <c r="A9" s="118">
        <v>5</v>
      </c>
      <c r="B9" s="111">
        <f>($O$16*'2- Key Assumptions'!$C$66*LIFETIME_MILES/LIFETIME_YEARS)/(1+DISCOUNT_RATE)^A9</f>
        <v>11.179934613362343</v>
      </c>
      <c r="C9" s="111">
        <f>($O$17*'2- Key Assumptions'!$C$67*LIFETIME_MILES/LIFETIME_YEARS)/(1+DISCOUNT_RATE)^A9</f>
        <v>31.787127671664386</v>
      </c>
      <c r="D9" s="111">
        <f>($O$18*'2- Key Assumptions'!$C$68*LIFETIME_MILES/LIFETIME_YEARS)/(1+DISCOUNT_RATE)^A9</f>
        <v>2.4422022252227307</v>
      </c>
      <c r="E9" s="111">
        <f>($O$19*'2- Key Assumptions'!$C$69*LIFETIME_MILES/LIFETIME_YEARS)/(1+DISCOUNT_RATE)^A9</f>
        <v>3.421460717996323</v>
      </c>
      <c r="F9" s="111">
        <f>($O$20*'2- Key Assumptions'!$C$70*LIFETIME_MILES/LIFETIME_YEARS)/(1+DISCOUNT_RATE)^A9</f>
        <v>11.533486647307607</v>
      </c>
      <c r="G9" s="111">
        <f>($O$21*'2- Key Assumptions'!$C$71*LIFETIME_MILES/LIFETIME_YEARS)/(1+DISCOUNT_RATE)^A9</f>
        <v>1.5206607490412583</v>
      </c>
      <c r="H9" s="110"/>
      <c r="I9" s="204">
        <f t="shared" si="0"/>
        <v>87.331861449589951</v>
      </c>
      <c r="K9" s="98" t="s">
        <v>29</v>
      </c>
      <c r="L9" s="99">
        <v>31.174460250718653</v>
      </c>
      <c r="M9" s="100">
        <v>39.021775707939533</v>
      </c>
      <c r="N9" s="292">
        <v>0</v>
      </c>
      <c r="O9" s="259"/>
      <c r="R9" s="3"/>
    </row>
    <row r="10" spans="1:18">
      <c r="A10" s="118">
        <v>6</v>
      </c>
      <c r="B10" s="111">
        <f>($O$16*'2- Key Assumptions'!$C$66*LIFETIME_MILES/LIFETIME_YEARS)/(1+DISCOUNT_RATE)^A10</f>
        <v>10.749937128233022</v>
      </c>
      <c r="C10" s="111">
        <f>($O$17*'2- Key Assumptions'!$C$67*LIFETIME_MILES/LIFETIME_YEARS)/(1+DISCOUNT_RATE)^A10</f>
        <v>30.564545838138834</v>
      </c>
      <c r="D10" s="111">
        <f>($O$18*'2- Key Assumptions'!$C$68*LIFETIME_MILES/LIFETIME_YEARS)/(1+DISCOUNT_RATE)^A10</f>
        <v>2.3482713704064717</v>
      </c>
      <c r="E10" s="111">
        <f>($O$19*'2- Key Assumptions'!$C$69*LIFETIME_MILES/LIFETIME_YEARS)/(1+DISCOUNT_RATE)^A10</f>
        <v>3.2898660749964641</v>
      </c>
      <c r="F10" s="111">
        <f>($O$20*'2- Key Assumptions'!$C$70*LIFETIME_MILES/LIFETIME_YEARS)/(1+DISCOUNT_RATE)^A10</f>
        <v>11.089891007026544</v>
      </c>
      <c r="G10" s="111">
        <f>($O$21*'2- Key Assumptions'!$C$71*LIFETIME_MILES/LIFETIME_YEARS)/(1+DISCOUNT_RATE)^A10</f>
        <v>1.4621737971550561</v>
      </c>
      <c r="H10" s="110"/>
      <c r="I10" s="204">
        <f t="shared" si="0"/>
        <v>83.972943701528791</v>
      </c>
      <c r="K10" s="95" t="s">
        <v>30</v>
      </c>
      <c r="L10" s="96">
        <v>197.35863176475669</v>
      </c>
      <c r="M10" s="97">
        <v>349.64121225127326</v>
      </c>
      <c r="N10" s="291">
        <v>0</v>
      </c>
      <c r="O10" s="259"/>
    </row>
    <row r="11" spans="1:18">
      <c r="A11" s="118">
        <v>7</v>
      </c>
      <c r="B11" s="111">
        <f>($O$16*'2- Key Assumptions'!$C$66*LIFETIME_MILES/LIFETIME_YEARS)/(1+DISCOUNT_RATE)^A11</f>
        <v>10.336478007916368</v>
      </c>
      <c r="C11" s="111">
        <f>($O$17*'2- Key Assumptions'!$C$67*LIFETIME_MILES/LIFETIME_YEARS)/(1+DISCOUNT_RATE)^A11</f>
        <v>29.388986382825806</v>
      </c>
      <c r="D11" s="111">
        <f>($O$18*'2- Key Assumptions'!$C$68*LIFETIME_MILES/LIFETIME_YEARS)/(1+DISCOUNT_RATE)^A11</f>
        <v>2.2579532407754539</v>
      </c>
      <c r="E11" s="111">
        <f>($O$19*'2- Key Assumptions'!$C$69*LIFETIME_MILES/LIFETIME_YEARS)/(1+DISCOUNT_RATE)^A11</f>
        <v>3.1633327644196774</v>
      </c>
      <c r="F11" s="111">
        <f>($O$20*'2- Key Assumptions'!$C$70*LIFETIME_MILES/LIFETIME_YEARS)/(1+DISCOUNT_RATE)^A11</f>
        <v>10.663356737525525</v>
      </c>
      <c r="G11" s="111">
        <f>($O$21*'2- Key Assumptions'!$C$71*LIFETIME_MILES/LIFETIME_YEARS)/(1+DISCOUNT_RATE)^A11</f>
        <v>1.4059363434183234</v>
      </c>
      <c r="H11" s="110"/>
      <c r="I11" s="204">
        <f t="shared" si="0"/>
        <v>80.743215097623846</v>
      </c>
      <c r="K11" s="95" t="s">
        <v>31</v>
      </c>
      <c r="L11" s="96">
        <v>65.170377517946051</v>
      </c>
      <c r="M11" s="97">
        <v>271.93801080351011</v>
      </c>
      <c r="N11" s="291">
        <v>4591.4884800500067</v>
      </c>
      <c r="O11" s="259"/>
    </row>
    <row r="12" spans="1:18">
      <c r="A12" s="118">
        <v>8</v>
      </c>
      <c r="B12" s="111">
        <f>($O$16*'2- Key Assumptions'!$C$66*LIFETIME_MILES/LIFETIME_YEARS)/(1+DISCOUNT_RATE)^A12</f>
        <v>9.9389211614580439</v>
      </c>
      <c r="C12" s="111">
        <f>($O$17*'2- Key Assumptions'!$C$67*LIFETIME_MILES/LIFETIME_YEARS)/(1+DISCOUNT_RATE)^A12</f>
        <v>28.258640752717117</v>
      </c>
      <c r="D12" s="111">
        <f>($O$18*'2- Key Assumptions'!$C$68*LIFETIME_MILES/LIFETIME_YEARS)/(1+DISCOUNT_RATE)^A12</f>
        <v>2.1711088853610128</v>
      </c>
      <c r="E12" s="111">
        <f>($O$19*'2- Key Assumptions'!$C$69*LIFETIME_MILES/LIFETIME_YEARS)/(1+DISCOUNT_RATE)^A12</f>
        <v>3.0416661196343049</v>
      </c>
      <c r="F12" s="111">
        <f>($O$20*'2- Key Assumptions'!$C$70*LIFETIME_MILES/LIFETIME_YEARS)/(1+DISCOUNT_RATE)^A12</f>
        <v>10.253227632236079</v>
      </c>
      <c r="G12" s="111">
        <f>($O$21*'2- Key Assumptions'!$C$71*LIFETIME_MILES/LIFETIME_YEARS)/(1+DISCOUNT_RATE)^A12</f>
        <v>1.3518618686714645</v>
      </c>
      <c r="H12" s="110"/>
      <c r="I12" s="204">
        <f t="shared" si="0"/>
        <v>77.6377068246383</v>
      </c>
      <c r="K12" s="98" t="s">
        <v>78</v>
      </c>
      <c r="L12" s="99">
        <v>21.36565084724031</v>
      </c>
      <c r="M12" s="100">
        <v>54.616912818072485</v>
      </c>
      <c r="N12" s="292">
        <v>357.10523878511555</v>
      </c>
      <c r="O12" s="259"/>
    </row>
    <row r="13" spans="1:18">
      <c r="A13" s="118">
        <v>9</v>
      </c>
      <c r="B13" s="111">
        <f>($O$16*'2- Key Assumptions'!$C$66*LIFETIME_MILES/LIFETIME_YEARS)/(1+DISCOUNT_RATE)^A13</f>
        <v>9.556654962940426</v>
      </c>
      <c r="C13" s="111">
        <f>($O$17*'2- Key Assumptions'!$C$67*LIFETIME_MILES/LIFETIME_YEARS)/(1+DISCOUNT_RATE)^A13</f>
        <v>27.171769954535687</v>
      </c>
      <c r="D13" s="111">
        <f>($O$18*'2- Key Assumptions'!$C$68*LIFETIME_MILES/LIFETIME_YEARS)/(1+DISCOUNT_RATE)^A13</f>
        <v>2.0876046974625124</v>
      </c>
      <c r="E13" s="111">
        <f>($O$19*'2- Key Assumptions'!$C$69*LIFETIME_MILES/LIFETIME_YEARS)/(1+DISCOUNT_RATE)^A13</f>
        <v>2.9246789611868311</v>
      </c>
      <c r="F13" s="111">
        <f>($O$20*'2- Key Assumptions'!$C$70*LIFETIME_MILES/LIFETIME_YEARS)/(1+DISCOUNT_RATE)^A13</f>
        <v>9.8588727233039215</v>
      </c>
      <c r="G13" s="111">
        <f>($O$21*'2- Key Assumptions'!$C$71*LIFETIME_MILES/LIFETIME_YEARS)/(1+DISCOUNT_RATE)^A13</f>
        <v>1.2998671814148697</v>
      </c>
      <c r="H13" s="110"/>
      <c r="I13" s="204">
        <f t="shared" si="0"/>
        <v>74.651641177536817</v>
      </c>
      <c r="K13" s="98" t="s">
        <v>33</v>
      </c>
      <c r="L13" s="101">
        <v>0.41772800702348556</v>
      </c>
      <c r="M13" s="102">
        <v>0.18183229949367813</v>
      </c>
      <c r="N13" s="290">
        <v>1.0599999688565731E-2</v>
      </c>
      <c r="O13" s="259"/>
    </row>
    <row r="14" spans="1:18">
      <c r="A14" s="118">
        <v>10</v>
      </c>
      <c r="B14" s="111">
        <f>($O$16*'2- Key Assumptions'!$C$66*LIFETIME_MILES/LIFETIME_YEARS)/(1+DISCOUNT_RATE)^A14</f>
        <v>9.1890913105196415</v>
      </c>
      <c r="C14" s="111">
        <f>($O$17*'2- Key Assumptions'!$C$67*LIFETIME_MILES/LIFETIME_YEARS)/(1+DISCOUNT_RATE)^A14</f>
        <v>26.126701879361235</v>
      </c>
      <c r="D14" s="111">
        <f>($O$18*'2- Key Assumptions'!$C$68*LIFETIME_MILES/LIFETIME_YEARS)/(1+DISCOUNT_RATE)^A14</f>
        <v>2.0073122090985693</v>
      </c>
      <c r="E14" s="111">
        <f>($O$19*'2- Key Assumptions'!$C$69*LIFETIME_MILES/LIFETIME_YEARS)/(1+DISCOUNT_RATE)^A14</f>
        <v>2.8121913088334916</v>
      </c>
      <c r="F14" s="111">
        <f>($O$20*'2- Key Assumptions'!$C$70*LIFETIME_MILES/LIFETIME_YEARS)/(1+DISCOUNT_RATE)^A14</f>
        <v>9.4796853108691561</v>
      </c>
      <c r="G14" s="111">
        <f>($O$21*'2- Key Assumptions'!$C$71*LIFETIME_MILES/LIFETIME_YEARS)/(1+DISCOUNT_RATE)^A14</f>
        <v>1.2498722898219901</v>
      </c>
      <c r="H14" s="110"/>
      <c r="I14" s="204">
        <f t="shared" si="0"/>
        <v>71.780424209170022</v>
      </c>
      <c r="K14" s="95" t="s">
        <v>34</v>
      </c>
      <c r="L14" s="103">
        <v>3.4528420844829303E-4</v>
      </c>
      <c r="M14" s="104">
        <v>3.0357217332627369E-3</v>
      </c>
      <c r="N14" s="289">
        <v>1.2000000104308128E-2</v>
      </c>
      <c r="O14" s="259"/>
    </row>
    <row r="15" spans="1:18">
      <c r="A15" s="118">
        <v>11</v>
      </c>
      <c r="B15" s="111">
        <f>($O$16*'2- Key Assumptions'!$C$66*LIFETIME_MILES/LIFETIME_YEARS)/(1+DISCOUNT_RATE)^A15</f>
        <v>8.8356647216535009</v>
      </c>
      <c r="C15" s="111">
        <f>($O$17*'2- Key Assumptions'!$C$67*LIFETIME_MILES/LIFETIME_YEARS)/(1+DISCOUNT_RATE)^A15</f>
        <v>25.121828730155038</v>
      </c>
      <c r="D15" s="111">
        <f>($O$18*'2- Key Assumptions'!$C$68*LIFETIME_MILES/LIFETIME_YEARS)/(1+DISCOUNT_RATE)^A15</f>
        <v>1.9301078933640092</v>
      </c>
      <c r="E15" s="111">
        <f>($O$19*'2- Key Assumptions'!$C$69*LIFETIME_MILES/LIFETIME_YEARS)/(1+DISCOUNT_RATE)^A15</f>
        <v>2.7040301046475883</v>
      </c>
      <c r="F15" s="111">
        <f>($O$20*'2- Key Assumptions'!$C$70*LIFETIME_MILES/LIFETIME_YEARS)/(1+DISCOUNT_RATE)^A15</f>
        <v>9.1150820296818811</v>
      </c>
      <c r="G15" s="111">
        <f>($O$21*'2- Key Assumptions'!$C$71*LIFETIME_MILES/LIFETIME_YEARS)/(1+DISCOUNT_RATE)^A15</f>
        <v>1.2018002786749904</v>
      </c>
      <c r="H15" s="117"/>
      <c r="I15" s="204">
        <f t="shared" si="0"/>
        <v>69.019638662663482</v>
      </c>
      <c r="K15" s="95" t="s">
        <v>35</v>
      </c>
      <c r="L15" s="96">
        <v>31.911745716945042</v>
      </c>
      <c r="M15" s="97">
        <v>60.067365381926734</v>
      </c>
      <c r="N15" s="291">
        <v>360.94623880841351</v>
      </c>
      <c r="O15" s="484">
        <f t="shared" ref="O15:O21" si="1">N15/1000000</f>
        <v>3.6094623880841354E-4</v>
      </c>
    </row>
    <row r="16" spans="1:18" ht="15.75" thickBot="1">
      <c r="A16" s="118">
        <v>12</v>
      </c>
      <c r="B16" s="111">
        <f>($O$16*'2- Key Assumptions'!$C$66*LIFETIME_MILES/LIFETIME_YEARS)/(1+DISCOUNT_RATE)^A16</f>
        <v>8.4958314631283649</v>
      </c>
      <c r="C16" s="111">
        <f>($O$17*'2- Key Assumptions'!$C$67*LIFETIME_MILES/LIFETIME_YEARS)/(1+DISCOUNT_RATE)^A16</f>
        <v>24.155604548225991</v>
      </c>
      <c r="D16" s="111">
        <f>($O$18*'2- Key Assumptions'!$C$68*LIFETIME_MILES/LIFETIME_YEARS)/(1+DISCOUNT_RATE)^A16</f>
        <v>1.8558729743884701</v>
      </c>
      <c r="E16" s="111">
        <f>($O$19*'2- Key Assumptions'!$C$69*LIFETIME_MILES/LIFETIME_YEARS)/(1+DISCOUNT_RATE)^A16</f>
        <v>2.6000289467765265</v>
      </c>
      <c r="F16" s="111">
        <f>($O$20*'2- Key Assumptions'!$C$70*LIFETIME_MILES/LIFETIME_YEARS)/(1+DISCOUNT_RATE)^A16</f>
        <v>8.7645019516171914</v>
      </c>
      <c r="G16" s="111">
        <f>($O$21*'2- Key Assumptions'!$C$71*LIFETIME_MILES/LIFETIME_YEARS)/(1+DISCOUNT_RATE)^A16</f>
        <v>1.1555771910336445</v>
      </c>
      <c r="H16" s="117"/>
      <c r="I16" s="204">
        <f t="shared" si="0"/>
        <v>66.365037175637951</v>
      </c>
      <c r="K16" s="98" t="s">
        <v>36</v>
      </c>
      <c r="L16" s="101">
        <v>1.6643783941006175E-2</v>
      </c>
      <c r="M16" s="102">
        <v>0.10939159266720425</v>
      </c>
      <c r="N16" s="290">
        <v>0.15199999883770943</v>
      </c>
      <c r="O16" s="485">
        <f t="shared" si="1"/>
        <v>1.5199999883770942E-7</v>
      </c>
    </row>
    <row r="17" spans="1:16" ht="15.75" thickBot="1">
      <c r="A17" s="282" t="s">
        <v>88</v>
      </c>
      <c r="B17" s="283">
        <f>SUM(B5:B16)</f>
        <v>127.65671082152872</v>
      </c>
      <c r="C17" s="283">
        <f>SUM(C5:C16)</f>
        <v>362.95741481159581</v>
      </c>
      <c r="D17" s="283">
        <f t="shared" ref="D17:I17" si="2">SUM(D5:D16)</f>
        <v>27.885986279412577</v>
      </c>
      <c r="E17" s="283">
        <f t="shared" si="2"/>
        <v>39.067529155532164</v>
      </c>
      <c r="F17" s="283">
        <f t="shared" si="2"/>
        <v>131.69370131553126</v>
      </c>
      <c r="G17" s="283">
        <f t="shared" si="2"/>
        <v>17.363478071329006</v>
      </c>
      <c r="H17" s="283"/>
      <c r="I17" s="284">
        <f t="shared" si="2"/>
        <v>997.18813822500761</v>
      </c>
      <c r="K17" s="98" t="s">
        <v>37</v>
      </c>
      <c r="L17" s="101">
        <v>2.6026611815606868E-2</v>
      </c>
      <c r="M17" s="102">
        <v>2.915257291682407E-2</v>
      </c>
      <c r="N17" s="290">
        <v>3.4920001029968262</v>
      </c>
      <c r="O17" s="485">
        <f t="shared" si="1"/>
        <v>3.492000102996826E-6</v>
      </c>
    </row>
    <row r="18" spans="1:16">
      <c r="K18" s="95" t="s">
        <v>38</v>
      </c>
      <c r="L18" s="103">
        <v>0.11960629553684514</v>
      </c>
      <c r="M18" s="104">
        <v>8.0668900235645297E-2</v>
      </c>
      <c r="N18" s="289">
        <v>6.8999998271465302E-2</v>
      </c>
      <c r="O18" s="485">
        <f t="shared" si="1"/>
        <v>6.89999982714653E-8</v>
      </c>
    </row>
    <row r="19" spans="1:16">
      <c r="A19" s="3"/>
      <c r="B19" s="109"/>
      <c r="C19" s="109"/>
      <c r="D19" s="109"/>
      <c r="E19" s="109"/>
      <c r="F19" s="109"/>
      <c r="G19" s="109"/>
      <c r="I19" s="109"/>
      <c r="K19" s="95" t="s">
        <v>39</v>
      </c>
      <c r="L19" s="103">
        <v>1.1923799849721167E-2</v>
      </c>
      <c r="M19" s="104">
        <v>1.9448627761338062E-2</v>
      </c>
      <c r="N19" s="289">
        <v>2.8600000776350498E-2</v>
      </c>
      <c r="O19" s="485">
        <f t="shared" si="1"/>
        <v>2.8600000776350498E-8</v>
      </c>
      <c r="P19" s="8"/>
    </row>
    <row r="20" spans="1:16">
      <c r="K20" s="98" t="s">
        <v>40</v>
      </c>
      <c r="L20" s="101">
        <v>7.2246188957560764E-3</v>
      </c>
      <c r="M20" s="102">
        <v>9.8510506297443592E-3</v>
      </c>
      <c r="N20" s="290">
        <v>1.4800000004470348E-2</v>
      </c>
      <c r="O20" s="485">
        <f t="shared" si="1"/>
        <v>1.4800000004470349E-8</v>
      </c>
      <c r="P20" s="8"/>
    </row>
    <row r="21" spans="1:16">
      <c r="E21" s="109"/>
      <c r="K21" s="98" t="s">
        <v>41</v>
      </c>
      <c r="L21" s="101">
        <v>5.055845632674251E-2</v>
      </c>
      <c r="M21" s="102">
        <v>5.4631658918816085E-2</v>
      </c>
      <c r="N21" s="290">
        <v>5.801556330783335E-3</v>
      </c>
      <c r="O21" s="485">
        <f t="shared" si="1"/>
        <v>5.801556330783335E-9</v>
      </c>
      <c r="P21" s="8"/>
    </row>
    <row r="22" spans="1:16">
      <c r="I22" s="109"/>
      <c r="K22" s="95" t="s">
        <v>42</v>
      </c>
      <c r="L22" s="103">
        <v>2.7500802241640608E-3</v>
      </c>
      <c r="M22" s="104">
        <v>6.9484972475968493E-2</v>
      </c>
      <c r="N22" s="289">
        <v>9.4543999277055257E-2</v>
      </c>
      <c r="O22" s="485"/>
      <c r="P22" s="8"/>
    </row>
    <row r="23" spans="1:16">
      <c r="K23" s="95" t="s">
        <v>43</v>
      </c>
      <c r="L23" s="103">
        <v>1.2218432263071588E-3</v>
      </c>
      <c r="M23" s="104">
        <v>1.2722809587711759E-2</v>
      </c>
      <c r="N23" s="289">
        <v>2.172024064064026</v>
      </c>
      <c r="O23" s="485"/>
      <c r="P23" s="8"/>
    </row>
    <row r="24" spans="1:16">
      <c r="K24" s="98" t="s">
        <v>44</v>
      </c>
      <c r="L24" s="101">
        <v>5.6249198401203595E-3</v>
      </c>
      <c r="M24" s="102">
        <v>2.769201571056415E-2</v>
      </c>
      <c r="N24" s="290">
        <v>4.2917998924851417E-2</v>
      </c>
      <c r="O24" s="485"/>
      <c r="P24" s="8"/>
    </row>
    <row r="25" spans="1:16">
      <c r="K25" s="98" t="s">
        <v>45</v>
      </c>
      <c r="L25" s="101">
        <v>4.3955316981159829E-4</v>
      </c>
      <c r="M25" s="102">
        <v>6.1403859942236261E-3</v>
      </c>
      <c r="N25" s="290">
        <v>1.7789200482890011E-2</v>
      </c>
      <c r="O25" s="485"/>
      <c r="P25" s="8"/>
    </row>
    <row r="26" spans="1:16">
      <c r="K26" s="95" t="s">
        <v>46</v>
      </c>
      <c r="L26" s="103">
        <v>3.7995389433584896E-4</v>
      </c>
      <c r="M26" s="104">
        <v>3.7552404436256132E-3</v>
      </c>
      <c r="N26" s="289">
        <v>9.2056000027805566E-3</v>
      </c>
      <c r="O26" s="485"/>
      <c r="P26" s="8"/>
    </row>
    <row r="27" spans="1:16" ht="15.75" thickBot="1">
      <c r="K27" s="105" t="s">
        <v>47</v>
      </c>
      <c r="L27" s="106">
        <v>3.477885445373871E-3</v>
      </c>
      <c r="M27" s="107">
        <v>2.2254330223068979E-2</v>
      </c>
      <c r="N27" s="108">
        <v>3.6085680377472345E-3</v>
      </c>
      <c r="O27" s="486"/>
      <c r="P27" s="8"/>
    </row>
    <row r="31" spans="1:16" ht="16.5" customHeight="1"/>
    <row r="41" spans="16:17">
      <c r="P41" s="84"/>
      <c r="Q41" s="84"/>
    </row>
    <row r="42" spans="16:17">
      <c r="P42" s="82"/>
    </row>
    <row r="48" spans="16:17">
      <c r="P48" s="82"/>
    </row>
    <row r="49" spans="16:16">
      <c r="P49" s="82"/>
    </row>
  </sheetData>
  <pageMargins left="0.7" right="0.7" top="0.75" bottom="0.75" header="0.3" footer="0.3"/>
  <pageSetup orientation="portrait" horizontalDpi="4294967292" verticalDpi="4294967292"/>
</worksheet>
</file>

<file path=xl/worksheets/sheet13.xml><?xml version="1.0" encoding="utf-8"?>
<worksheet xmlns="http://schemas.openxmlformats.org/spreadsheetml/2006/main" xmlns:r="http://schemas.openxmlformats.org/officeDocument/2006/relationships">
  <sheetPr>
    <tabColor rgb="FFC00000"/>
  </sheetPr>
  <dimension ref="A1:R49"/>
  <sheetViews>
    <sheetView workbookViewId="0">
      <selection activeCell="A17" sqref="A17:I17"/>
    </sheetView>
  </sheetViews>
  <sheetFormatPr defaultColWidth="8.85546875" defaultRowHeight="15"/>
  <cols>
    <col min="3" max="3" width="11.42578125" bestFit="1" customWidth="1"/>
    <col min="9" max="9" width="8.42578125" customWidth="1"/>
    <col min="15" max="15" width="14.140625" customWidth="1"/>
    <col min="16" max="16" width="14.85546875" customWidth="1"/>
    <col min="17" max="17" width="13.28515625" bestFit="1" customWidth="1"/>
  </cols>
  <sheetData>
    <row r="1" spans="1:18">
      <c r="A1" s="3" t="s">
        <v>95</v>
      </c>
    </row>
    <row r="2" spans="1:18" ht="15.75" thickBot="1"/>
    <row r="3" spans="1:18">
      <c r="A3" s="201"/>
      <c r="B3" s="210" t="s">
        <v>14</v>
      </c>
      <c r="C3" s="202" t="s">
        <v>19</v>
      </c>
      <c r="D3" s="202" t="s">
        <v>2220</v>
      </c>
      <c r="E3" s="202" t="s">
        <v>18</v>
      </c>
      <c r="F3" s="202" t="s">
        <v>16</v>
      </c>
      <c r="G3" s="202" t="s">
        <v>2221</v>
      </c>
      <c r="H3" s="202"/>
      <c r="I3" s="203"/>
    </row>
    <row r="4" spans="1:18" ht="15.75" customHeight="1" thickBot="1">
      <c r="A4" s="114" t="s">
        <v>25</v>
      </c>
      <c r="B4" s="115"/>
      <c r="C4" s="115"/>
      <c r="D4" s="115"/>
      <c r="E4" s="115"/>
      <c r="F4" s="115"/>
      <c r="G4" s="115"/>
      <c r="H4" s="115"/>
      <c r="I4" s="116"/>
      <c r="K4" s="86" t="s">
        <v>84</v>
      </c>
      <c r="L4" s="87"/>
      <c r="M4" s="87"/>
      <c r="N4" s="87"/>
    </row>
    <row r="5" spans="1:18" ht="15.75" customHeight="1" thickBot="1">
      <c r="A5" s="118">
        <v>1</v>
      </c>
      <c r="B5" s="111">
        <f>($O$16*'2- Key Assumptions'!$C$66*'2- Key Assumptions'!$C$3/'2- Key Assumptions'!$C$4)/(1+'2- Key Assumptions'!$C$5)^A5</f>
        <v>12.343251819424744</v>
      </c>
      <c r="C5" s="111">
        <f>($O$17*'2- Key Assumptions'!$C$67*LIFETIME_MILES/LIFETIME_YEARS)/(1+DISCOUNT_RATE)^A5</f>
        <v>37.186443404509461</v>
      </c>
      <c r="D5" s="111">
        <f>($O$18*'2- Key Assumptions'!$C$68*LIFETIME_MILES/LIFETIME_YEARS)/(1+DISCOUNT_RATE)^A5</f>
        <v>2.8570311784278601</v>
      </c>
      <c r="E5" s="111">
        <f>($O$19*'2- Key Assumptions'!$C$69*LIFETIME_MILES/LIFETIME_YEARS)/(1+DISCOUNT_RATE)^A5</f>
        <v>4.0026251086517455</v>
      </c>
      <c r="F5" s="111">
        <f>($O$20*'2- Key Assumptions'!$C$70*LIFETIME_MILES/LIFETIME_YEARS)/(1+DISCOUNT_RATE)^A5</f>
        <v>13.492548080998509</v>
      </c>
      <c r="G5" s="111">
        <f>($O$21*'2- Key Assumptions'!$C$71*LIFETIME_MILES/LIFETIME_YEARS)/(1+DISCOUNT_RATE)^A5</f>
        <v>0.51789809902987105</v>
      </c>
      <c r="H5" s="110"/>
      <c r="I5" s="204">
        <f t="shared" ref="I5:I16" si="0">($O$15*SCC*LIFETIME_MILES/LIFETIME_YEARS)/(1+DISCOUNT_RATE)^A5</f>
        <v>100.33716633158204</v>
      </c>
      <c r="K5" s="293"/>
      <c r="L5" s="88" t="s">
        <v>21</v>
      </c>
      <c r="M5" s="89"/>
      <c r="N5" s="90"/>
      <c r="O5" s="491" t="s">
        <v>2522</v>
      </c>
    </row>
    <row r="6" spans="1:18" ht="16.5" customHeight="1">
      <c r="A6" s="118">
        <v>2</v>
      </c>
      <c r="B6" s="111">
        <f>($O$16*'2- Key Assumptions'!$C$66*'2- Key Assumptions'!$C$3/'2- Key Assumptions'!$C$4)/(1+'2- Key Assumptions'!$C$5)^A6</f>
        <v>11.868511364831484</v>
      </c>
      <c r="C6" s="111">
        <f>($O$17*'2- Key Assumptions'!$C$67*LIFETIME_MILES/LIFETIME_YEARS)/(1+DISCOUNT_RATE)^A6</f>
        <v>35.756195581259099</v>
      </c>
      <c r="D6" s="111">
        <f>($O$18*'2- Key Assumptions'!$C$68*LIFETIME_MILES/LIFETIME_YEARS)/(1+DISCOUNT_RATE)^A6</f>
        <v>2.7471453638729422</v>
      </c>
      <c r="E6" s="111">
        <f>($O$19*'2- Key Assumptions'!$C$69*LIFETIME_MILES/LIFETIME_YEARS)/(1+DISCOUNT_RATE)^A6</f>
        <v>3.8486779890882166</v>
      </c>
      <c r="F6" s="111">
        <f>($O$20*'2- Key Assumptions'!$C$70*LIFETIME_MILES/LIFETIME_YEARS)/(1+DISCOUNT_RATE)^A6</f>
        <v>12.973603924037025</v>
      </c>
      <c r="G6" s="111">
        <f>($O$21*'2- Key Assumptions'!$C$71*LIFETIME_MILES/LIFETIME_YEARS)/(1+DISCOUNT_RATE)^A6</f>
        <v>0.49797894137487592</v>
      </c>
      <c r="H6" s="110"/>
      <c r="I6" s="204">
        <f t="shared" si="0"/>
        <v>96.47804454959811</v>
      </c>
      <c r="K6" s="91" t="s">
        <v>22</v>
      </c>
      <c r="L6" s="92" t="s">
        <v>23</v>
      </c>
      <c r="M6" s="93" t="s">
        <v>24</v>
      </c>
      <c r="N6" s="94" t="s">
        <v>25</v>
      </c>
      <c r="O6" s="483" t="s">
        <v>25</v>
      </c>
    </row>
    <row r="7" spans="1:18">
      <c r="A7" s="118">
        <v>3</v>
      </c>
      <c r="B7" s="111">
        <f>($O$16*'2- Key Assumptions'!$C$66*'2- Key Assumptions'!$C$3/'2- Key Assumptions'!$C$4)/(1+'2- Key Assumptions'!$C$5)^A7</f>
        <v>11.412030158491811</v>
      </c>
      <c r="C7" s="111">
        <f>($O$17*'2- Key Assumptions'!$C$67*LIFETIME_MILES/LIFETIME_YEARS)/(1+DISCOUNT_RATE)^A7</f>
        <v>34.38095728967221</v>
      </c>
      <c r="D7" s="111">
        <f>($O$18*'2- Key Assumptions'!$C$68*LIFETIME_MILES/LIFETIME_YEARS)/(1+DISCOUNT_RATE)^A7</f>
        <v>2.6414859268009061</v>
      </c>
      <c r="E7" s="111">
        <f>($O$19*'2- Key Assumptions'!$C$69*LIFETIME_MILES/LIFETIME_YEARS)/(1+DISCOUNT_RATE)^A7</f>
        <v>3.7006519125848238</v>
      </c>
      <c r="F7" s="111">
        <f>($O$20*'2- Key Assumptions'!$C$70*LIFETIME_MILES/LIFETIME_YEARS)/(1+DISCOUNT_RATE)^A7</f>
        <v>12.47461915772791</v>
      </c>
      <c r="G7" s="111">
        <f>($O$21*'2- Key Assumptions'!$C$71*LIFETIME_MILES/LIFETIME_YEARS)/(1+DISCOUNT_RATE)^A7</f>
        <v>0.47882590516814993</v>
      </c>
      <c r="H7" s="110"/>
      <c r="I7" s="204">
        <f t="shared" si="0"/>
        <v>92.76735052845973</v>
      </c>
      <c r="K7" s="95" t="s">
        <v>27</v>
      </c>
      <c r="L7" s="96">
        <v>547.7375475910535</v>
      </c>
      <c r="M7" s="97">
        <v>4420.2458284813283</v>
      </c>
      <c r="N7" s="291">
        <v>4649.2577338763613</v>
      </c>
      <c r="O7" s="259"/>
    </row>
    <row r="8" spans="1:18">
      <c r="A8" s="118">
        <v>4</v>
      </c>
      <c r="B8" s="111">
        <f>($O$16*'2- Key Assumptions'!$C$66*'2- Key Assumptions'!$C$3/'2- Key Assumptions'!$C$4)/(1+'2- Key Assumptions'!$C$5)^A8</f>
        <v>10.973105921626741</v>
      </c>
      <c r="C8" s="111">
        <f>($O$17*'2- Key Assumptions'!$C$67*LIFETIME_MILES/LIFETIME_YEARS)/(1+DISCOUNT_RATE)^A8</f>
        <v>33.058612778530964</v>
      </c>
      <c r="D8" s="111">
        <f>($O$18*'2- Key Assumptions'!$C$68*LIFETIME_MILES/LIFETIME_YEARS)/(1+DISCOUNT_RATE)^A8</f>
        <v>2.53989031423164</v>
      </c>
      <c r="E8" s="111">
        <f>($O$19*'2- Key Assumptions'!$C$69*LIFETIME_MILES/LIFETIME_YEARS)/(1+DISCOUNT_RATE)^A8</f>
        <v>3.5583191467161761</v>
      </c>
      <c r="F8" s="111">
        <f>($O$20*'2- Key Assumptions'!$C$70*LIFETIME_MILES/LIFETIME_YEARS)/(1+DISCOUNT_RATE)^A8</f>
        <v>11.994826113199913</v>
      </c>
      <c r="G8" s="111">
        <f>($O$21*'2- Key Assumptions'!$C$71*LIFETIME_MILES/LIFETIME_YEARS)/(1+DISCOUNT_RATE)^A8</f>
        <v>0.46040952420014414</v>
      </c>
      <c r="H8" s="110"/>
      <c r="I8" s="204">
        <f t="shared" si="0"/>
        <v>89.199375508134338</v>
      </c>
      <c r="K8" s="98" t="s">
        <v>28</v>
      </c>
      <c r="L8" s="99">
        <v>461.40581271728649</v>
      </c>
      <c r="M8" s="100">
        <v>1761.2660412263288</v>
      </c>
      <c r="N8" s="292">
        <v>1231.2764417756537</v>
      </c>
      <c r="O8" s="259"/>
    </row>
    <row r="9" spans="1:18">
      <c r="A9" s="118">
        <v>5</v>
      </c>
      <c r="B9" s="111">
        <f>($O$16*'2- Key Assumptions'!$C$66*'2- Key Assumptions'!$C$3/'2- Key Assumptions'!$C$4)/(1+'2- Key Assumptions'!$C$5)^A9</f>
        <v>10.551063386179557</v>
      </c>
      <c r="C9" s="111">
        <f>($O$17*'2- Key Assumptions'!$C$67*LIFETIME_MILES/LIFETIME_YEARS)/(1+DISCOUNT_RATE)^A9</f>
        <v>31.787127671664386</v>
      </c>
      <c r="D9" s="111">
        <f>($O$18*'2- Key Assumptions'!$C$68*LIFETIME_MILES/LIFETIME_YEARS)/(1+DISCOUNT_RATE)^A9</f>
        <v>2.4422022252227307</v>
      </c>
      <c r="E9" s="111">
        <f>($O$19*'2- Key Assumptions'!$C$69*LIFETIME_MILES/LIFETIME_YEARS)/(1+DISCOUNT_RATE)^A9</f>
        <v>3.421460717996323</v>
      </c>
      <c r="F9" s="111">
        <f>($O$20*'2- Key Assumptions'!$C$70*LIFETIME_MILES/LIFETIME_YEARS)/(1+DISCOUNT_RATE)^A9</f>
        <v>11.533486647307607</v>
      </c>
      <c r="G9" s="111">
        <f>($O$21*'2- Key Assumptions'!$C$71*LIFETIME_MILES/LIFETIME_YEARS)/(1+DISCOUNT_RATE)^A9</f>
        <v>0.44270146557706164</v>
      </c>
      <c r="H9" s="110"/>
      <c r="I9" s="204">
        <f t="shared" si="0"/>
        <v>85.768630296283007</v>
      </c>
      <c r="K9" s="98" t="s">
        <v>29</v>
      </c>
      <c r="L9" s="99">
        <v>42.116675010368027</v>
      </c>
      <c r="M9" s="100">
        <v>299.82868395736654</v>
      </c>
      <c r="N9" s="292">
        <v>0</v>
      </c>
      <c r="O9" s="259"/>
      <c r="R9" s="3"/>
    </row>
    <row r="10" spans="1:18">
      <c r="A10" s="118">
        <v>6</v>
      </c>
      <c r="B10" s="111">
        <f>($O$16*'2- Key Assumptions'!$C$66*'2- Key Assumptions'!$C$3/'2- Key Assumptions'!$C$4)/(1+'2- Key Assumptions'!$C$5)^A10</f>
        <v>10.145253255941883</v>
      </c>
      <c r="C10" s="111">
        <f>($O$17*'2- Key Assumptions'!$C$67*LIFETIME_MILES/LIFETIME_YEARS)/(1+DISCOUNT_RATE)^A10</f>
        <v>30.564545838138834</v>
      </c>
      <c r="D10" s="111">
        <f>($O$18*'2- Key Assumptions'!$C$68*LIFETIME_MILES/LIFETIME_YEARS)/(1+DISCOUNT_RATE)^A10</f>
        <v>2.3482713704064717</v>
      </c>
      <c r="E10" s="111">
        <f>($O$19*'2- Key Assumptions'!$C$69*LIFETIME_MILES/LIFETIME_YEARS)/(1+DISCOUNT_RATE)^A10</f>
        <v>3.2898660749964641</v>
      </c>
      <c r="F10" s="111">
        <f>($O$20*'2- Key Assumptions'!$C$70*LIFETIME_MILES/LIFETIME_YEARS)/(1+DISCOUNT_RATE)^A10</f>
        <v>11.089891007026544</v>
      </c>
      <c r="G10" s="111">
        <f>($O$21*'2- Key Assumptions'!$C$71*LIFETIME_MILES/LIFETIME_YEARS)/(1+DISCOUNT_RATE)^A10</f>
        <v>0.42567448613179004</v>
      </c>
      <c r="H10" s="110"/>
      <c r="I10" s="204">
        <f t="shared" si="0"/>
        <v>82.469836823349041</v>
      </c>
      <c r="K10" s="95" t="s">
        <v>30</v>
      </c>
      <c r="L10" s="96">
        <v>243.72784003451218</v>
      </c>
      <c r="M10" s="97">
        <v>1321.3738370881085</v>
      </c>
      <c r="N10" s="291">
        <v>0</v>
      </c>
      <c r="O10" s="259"/>
    </row>
    <row r="11" spans="1:18">
      <c r="A11" s="118">
        <v>7</v>
      </c>
      <c r="B11" s="111">
        <f>($O$16*'2- Key Assumptions'!$C$66*'2- Key Assumptions'!$C$3/'2- Key Assumptions'!$C$4)/(1+'2- Key Assumptions'!$C$5)^A11</f>
        <v>9.7550512076364253</v>
      </c>
      <c r="C11" s="111">
        <f>($O$17*'2- Key Assumptions'!$C$67*LIFETIME_MILES/LIFETIME_YEARS)/(1+DISCOUNT_RATE)^A11</f>
        <v>29.388986382825806</v>
      </c>
      <c r="D11" s="111">
        <f>($O$18*'2- Key Assumptions'!$C$68*LIFETIME_MILES/LIFETIME_YEARS)/(1+DISCOUNT_RATE)^A11</f>
        <v>2.2579532407754539</v>
      </c>
      <c r="E11" s="111">
        <f>($O$19*'2- Key Assumptions'!$C$69*LIFETIME_MILES/LIFETIME_YEARS)/(1+DISCOUNT_RATE)^A11</f>
        <v>3.1633327644196774</v>
      </c>
      <c r="F11" s="111">
        <f>($O$20*'2- Key Assumptions'!$C$70*LIFETIME_MILES/LIFETIME_YEARS)/(1+DISCOUNT_RATE)^A11</f>
        <v>10.663356737525525</v>
      </c>
      <c r="G11" s="111">
        <f>($O$21*'2- Key Assumptions'!$C$71*LIFETIME_MILES/LIFETIME_YEARS)/(1+DISCOUNT_RATE)^A11</f>
        <v>0.4093023905113366</v>
      </c>
      <c r="H11" s="110"/>
      <c r="I11" s="204">
        <f t="shared" si="0"/>
        <v>79.297920022451009</v>
      </c>
      <c r="K11" s="95" t="s">
        <v>31</v>
      </c>
      <c r="L11" s="96">
        <v>175.56129767240631</v>
      </c>
      <c r="M11" s="97">
        <v>140.06352018085363</v>
      </c>
      <c r="N11" s="291">
        <v>1231.2764417756537</v>
      </c>
      <c r="O11" s="259"/>
    </row>
    <row r="12" spans="1:18">
      <c r="A12" s="118">
        <v>8</v>
      </c>
      <c r="B12" s="111">
        <f>($O$16*'2- Key Assumptions'!$C$66*'2- Key Assumptions'!$C$3/'2- Key Assumptions'!$C$4)/(1+'2- Key Assumptions'!$C$5)^A12</f>
        <v>9.3798569304196384</v>
      </c>
      <c r="C12" s="111">
        <f>($O$17*'2- Key Assumptions'!$C$67*LIFETIME_MILES/LIFETIME_YEARS)/(1+DISCOUNT_RATE)^A12</f>
        <v>28.258640752717117</v>
      </c>
      <c r="D12" s="111">
        <f>($O$18*'2- Key Assumptions'!$C$68*LIFETIME_MILES/LIFETIME_YEARS)/(1+DISCOUNT_RATE)^A12</f>
        <v>2.1711088853610128</v>
      </c>
      <c r="E12" s="111">
        <f>($O$19*'2- Key Assumptions'!$C$69*LIFETIME_MILES/LIFETIME_YEARS)/(1+DISCOUNT_RATE)^A12</f>
        <v>3.0416661196343049</v>
      </c>
      <c r="F12" s="111">
        <f>($O$20*'2- Key Assumptions'!$C$70*LIFETIME_MILES/LIFETIME_YEARS)/(1+DISCOUNT_RATE)^A12</f>
        <v>10.253227632236079</v>
      </c>
      <c r="G12" s="111">
        <f>($O$21*'2- Key Assumptions'!$C$71*LIFETIME_MILES/LIFETIME_YEARS)/(1+DISCOUNT_RATE)^A12</f>
        <v>0.39355999087628513</v>
      </c>
      <c r="H12" s="110"/>
      <c r="I12" s="204">
        <f t="shared" si="0"/>
        <v>76.248000021587501</v>
      </c>
      <c r="K12" s="98" t="s">
        <v>78</v>
      </c>
      <c r="L12" s="99">
        <v>-170.53857781604987</v>
      </c>
      <c r="M12" s="100">
        <v>124.44408368647647</v>
      </c>
      <c r="N12" s="292">
        <v>350.64433899655472</v>
      </c>
      <c r="O12" s="259"/>
    </row>
    <row r="13" spans="1:18">
      <c r="A13" s="118">
        <v>9</v>
      </c>
      <c r="B13" s="111">
        <f>($O$16*'2- Key Assumptions'!$C$66*'2- Key Assumptions'!$C$3/'2- Key Assumptions'!$C$4)/(1+'2- Key Assumptions'!$C$5)^A13</f>
        <v>9.0190932023265749</v>
      </c>
      <c r="C13" s="111">
        <f>($O$17*'2- Key Assumptions'!$C$67*LIFETIME_MILES/LIFETIME_YEARS)/(1+DISCOUNT_RATE)^A13</f>
        <v>27.171769954535687</v>
      </c>
      <c r="D13" s="111">
        <f>($O$18*'2- Key Assumptions'!$C$68*LIFETIME_MILES/LIFETIME_YEARS)/(1+DISCOUNT_RATE)^A13</f>
        <v>2.0876046974625124</v>
      </c>
      <c r="E13" s="111">
        <f>($O$19*'2- Key Assumptions'!$C$69*LIFETIME_MILES/LIFETIME_YEARS)/(1+DISCOUNT_RATE)^A13</f>
        <v>2.9246789611868311</v>
      </c>
      <c r="F13" s="111">
        <f>($O$20*'2- Key Assumptions'!$C$70*LIFETIME_MILES/LIFETIME_YEARS)/(1+DISCOUNT_RATE)^A13</f>
        <v>9.8588727233039215</v>
      </c>
      <c r="G13" s="111">
        <f>($O$21*'2- Key Assumptions'!$C$71*LIFETIME_MILES/LIFETIME_YEARS)/(1+DISCOUNT_RATE)^A13</f>
        <v>0.3784230681502741</v>
      </c>
      <c r="H13" s="110"/>
      <c r="I13" s="204">
        <f t="shared" si="0"/>
        <v>73.315384636141815</v>
      </c>
      <c r="K13" s="98" t="s">
        <v>33</v>
      </c>
      <c r="L13" s="101">
        <v>0.22382541626319083</v>
      </c>
      <c r="M13" s="102">
        <v>0.69804607396051876</v>
      </c>
      <c r="N13" s="290">
        <v>1.0599999688565731E-2</v>
      </c>
      <c r="O13" s="259"/>
    </row>
    <row r="14" spans="1:18">
      <c r="A14" s="118">
        <v>10</v>
      </c>
      <c r="B14" s="111">
        <f>($O$16*'2- Key Assumptions'!$C$66*'2- Key Assumptions'!$C$3/'2- Key Assumptions'!$C$4)/(1+'2- Key Assumptions'!$C$5)^A14</f>
        <v>8.6722050022370922</v>
      </c>
      <c r="C14" s="111">
        <f>($O$17*'2- Key Assumptions'!$C$67*LIFETIME_MILES/LIFETIME_YEARS)/(1+DISCOUNT_RATE)^A14</f>
        <v>26.126701879361235</v>
      </c>
      <c r="D14" s="111">
        <f>($O$18*'2- Key Assumptions'!$C$68*LIFETIME_MILES/LIFETIME_YEARS)/(1+DISCOUNT_RATE)^A14</f>
        <v>2.0073122090985693</v>
      </c>
      <c r="E14" s="111">
        <f>($O$19*'2- Key Assumptions'!$C$69*LIFETIME_MILES/LIFETIME_YEARS)/(1+DISCOUNT_RATE)^A14</f>
        <v>2.8121913088334916</v>
      </c>
      <c r="F14" s="111">
        <f>($O$20*'2- Key Assumptions'!$C$70*LIFETIME_MILES/LIFETIME_YEARS)/(1+DISCOUNT_RATE)^A14</f>
        <v>9.4796853108691561</v>
      </c>
      <c r="G14" s="111">
        <f>($O$21*'2- Key Assumptions'!$C$71*LIFETIME_MILES/LIFETIME_YEARS)/(1+DISCOUNT_RATE)^A14</f>
        <v>0.36386833475987895</v>
      </c>
      <c r="H14" s="110"/>
      <c r="I14" s="204">
        <f t="shared" si="0"/>
        <v>70.495562150136365</v>
      </c>
      <c r="K14" s="95" t="s">
        <v>34</v>
      </c>
      <c r="L14" s="103">
        <v>0.135715073757392</v>
      </c>
      <c r="M14" s="104">
        <v>2.5970943639600109E-3</v>
      </c>
      <c r="N14" s="289">
        <v>1.2000000104308128E-2</v>
      </c>
      <c r="O14" s="259"/>
    </row>
    <row r="15" spans="1:18">
      <c r="A15" s="118">
        <v>11</v>
      </c>
      <c r="B15" s="111">
        <f>($O$16*'2- Key Assumptions'!$C$66*'2- Key Assumptions'!$C$3/'2- Key Assumptions'!$C$4)/(1+'2- Key Assumptions'!$C$5)^A15</f>
        <v>8.3386586559972038</v>
      </c>
      <c r="C15" s="111">
        <f>($O$17*'2- Key Assumptions'!$C$67*LIFETIME_MILES/LIFETIME_YEARS)/(1+DISCOUNT_RATE)^A15</f>
        <v>25.121828730155038</v>
      </c>
      <c r="D15" s="111">
        <f>($O$18*'2- Key Assumptions'!$C$68*LIFETIME_MILES/LIFETIME_YEARS)/(1+DISCOUNT_RATE)^A15</f>
        <v>1.9301078933640092</v>
      </c>
      <c r="E15" s="111">
        <f>($O$19*'2- Key Assumptions'!$C$69*LIFETIME_MILES/LIFETIME_YEARS)/(1+DISCOUNT_RATE)^A15</f>
        <v>2.7040301046475883</v>
      </c>
      <c r="F15" s="111">
        <f>($O$20*'2- Key Assumptions'!$C$70*LIFETIME_MILES/LIFETIME_YEARS)/(1+DISCOUNT_RATE)^A15</f>
        <v>9.1150820296818811</v>
      </c>
      <c r="G15" s="111">
        <f>($O$21*'2- Key Assumptions'!$C$71*LIFETIME_MILES/LIFETIME_YEARS)/(1+DISCOUNT_RATE)^A15</f>
        <v>0.34987339880757595</v>
      </c>
      <c r="H15" s="117"/>
      <c r="I15" s="204">
        <f t="shared" si="0"/>
        <v>67.784194375131122</v>
      </c>
      <c r="K15" s="95" t="s">
        <v>35</v>
      </c>
      <c r="L15" s="96">
        <v>-124.49985042976728</v>
      </c>
      <c r="M15" s="97">
        <v>142.66916965594953</v>
      </c>
      <c r="N15" s="291">
        <v>354.48533901985269</v>
      </c>
      <c r="O15" s="484">
        <f t="shared" ref="O15:O21" si="1">N15/1000000</f>
        <v>3.544853390198527E-4</v>
      </c>
    </row>
    <row r="16" spans="1:18" ht="15.75" thickBot="1">
      <c r="A16" s="118">
        <v>12</v>
      </c>
      <c r="B16" s="111">
        <f>($O$16*'2- Key Assumptions'!$C$66*'2- Key Assumptions'!$C$3/'2- Key Assumptions'!$C$4)/(1+'2- Key Assumptions'!$C$5)^A16</f>
        <v>8.0179410153819255</v>
      </c>
      <c r="C16" s="111">
        <f>($O$17*'2- Key Assumptions'!$C$67*LIFETIME_MILES/LIFETIME_YEARS)/(1+DISCOUNT_RATE)^A16</f>
        <v>24.155604548225991</v>
      </c>
      <c r="D16" s="111">
        <f>($O$18*'2- Key Assumptions'!$C$68*LIFETIME_MILES/LIFETIME_YEARS)/(1+DISCOUNT_RATE)^A16</f>
        <v>1.8558729743884701</v>
      </c>
      <c r="E16" s="111">
        <f>($O$19*'2- Key Assumptions'!$C$69*LIFETIME_MILES/LIFETIME_YEARS)/(1+DISCOUNT_RATE)^A16</f>
        <v>2.6000289467765265</v>
      </c>
      <c r="F16" s="111">
        <f>($O$20*'2- Key Assumptions'!$C$70*LIFETIME_MILES/LIFETIME_YEARS)/(1+DISCOUNT_RATE)^A16</f>
        <v>8.7645019516171914</v>
      </c>
      <c r="G16" s="111">
        <f>($O$21*'2- Key Assumptions'!$C$71*LIFETIME_MILES/LIFETIME_YEARS)/(1+DISCOUNT_RATE)^A16</f>
        <v>0.33641672962266911</v>
      </c>
      <c r="H16" s="117"/>
      <c r="I16" s="204">
        <f t="shared" si="0"/>
        <v>65.177109976087607</v>
      </c>
      <c r="K16" s="98" t="s">
        <v>36</v>
      </c>
      <c r="L16" s="101">
        <v>7.5166557452523508E-3</v>
      </c>
      <c r="M16" s="102">
        <v>0.20991702117915365</v>
      </c>
      <c r="N16" s="290">
        <v>0.14345000019222498</v>
      </c>
      <c r="O16" s="485">
        <f t="shared" si="1"/>
        <v>1.4345000019222497E-7</v>
      </c>
    </row>
    <row r="17" spans="1:16" ht="15.75" thickBot="1">
      <c r="A17" s="503" t="s">
        <v>88</v>
      </c>
      <c r="B17" s="504">
        <f>SUM(B5:B16)</f>
        <v>120.47602192049507</v>
      </c>
      <c r="C17" s="504">
        <f>SUM(C5:C16)</f>
        <v>362.95741481159581</v>
      </c>
      <c r="D17" s="504">
        <f t="shared" ref="D17:I17" si="2">SUM(D5:D16)</f>
        <v>27.885986279412577</v>
      </c>
      <c r="E17" s="504">
        <f t="shared" si="2"/>
        <v>39.067529155532164</v>
      </c>
      <c r="F17" s="504">
        <f t="shared" si="2"/>
        <v>131.69370131553126</v>
      </c>
      <c r="G17" s="504">
        <f t="shared" si="2"/>
        <v>5.0549323342099122</v>
      </c>
      <c r="H17" s="504"/>
      <c r="I17" s="505">
        <f t="shared" si="2"/>
        <v>979.33857521894174</v>
      </c>
      <c r="K17" s="98" t="s">
        <v>37</v>
      </c>
      <c r="L17" s="101">
        <v>4.9377022056021139E-2</v>
      </c>
      <c r="M17" s="102">
        <v>6.5286930293298309E-2</v>
      </c>
      <c r="N17" s="290">
        <v>3.4920001029968262</v>
      </c>
      <c r="O17" s="485">
        <f t="shared" si="1"/>
        <v>3.492000102996826E-6</v>
      </c>
    </row>
    <row r="18" spans="1:16">
      <c r="K18" s="95" t="s">
        <v>38</v>
      </c>
      <c r="L18" s="103">
        <v>0.18357046637347016</v>
      </c>
      <c r="M18" s="104">
        <v>0.16122781572391681</v>
      </c>
      <c r="N18" s="289">
        <v>6.8999998271465302E-2</v>
      </c>
      <c r="O18" s="485">
        <f t="shared" si="1"/>
        <v>6.89999982714653E-8</v>
      </c>
    </row>
    <row r="19" spans="1:16">
      <c r="C19" s="109"/>
      <c r="K19" s="95" t="s">
        <v>39</v>
      </c>
      <c r="L19" s="103">
        <v>1.5402813870756942E-2</v>
      </c>
      <c r="M19" s="104">
        <v>0.11209729491497644</v>
      </c>
      <c r="N19" s="289">
        <v>2.8600000776350498E-2</v>
      </c>
      <c r="O19" s="485">
        <f t="shared" si="1"/>
        <v>2.8600000776350498E-8</v>
      </c>
      <c r="P19" s="8"/>
    </row>
    <row r="20" spans="1:16">
      <c r="E20" s="109"/>
      <c r="K20" s="98" t="s">
        <v>40</v>
      </c>
      <c r="L20" s="101">
        <v>9.021501462767284E-3</v>
      </c>
      <c r="M20" s="102">
        <v>3.3695541523329556E-2</v>
      </c>
      <c r="N20" s="290">
        <v>1.4800000004470348E-2</v>
      </c>
      <c r="O20" s="485">
        <f t="shared" si="1"/>
        <v>1.4800000004470349E-8</v>
      </c>
      <c r="P20" s="8"/>
    </row>
    <row r="21" spans="1:16">
      <c r="I21" s="109"/>
      <c r="K21" s="98" t="s">
        <v>41</v>
      </c>
      <c r="L21" s="101">
        <v>0.12758472693221565</v>
      </c>
      <c r="M21" s="102">
        <v>8.9015834544982533E-2</v>
      </c>
      <c r="N21" s="290">
        <v>1.6889746722830541E-3</v>
      </c>
      <c r="O21" s="485">
        <f t="shared" si="1"/>
        <v>1.688974672283054E-9</v>
      </c>
      <c r="P21" s="8"/>
    </row>
    <row r="22" spans="1:16">
      <c r="F22" s="109"/>
      <c r="K22" s="95" t="s">
        <v>42</v>
      </c>
      <c r="L22" s="103">
        <v>1.4261615418744316E-3</v>
      </c>
      <c r="M22" s="104">
        <v>6.4192383910723266E-2</v>
      </c>
      <c r="N22" s="289">
        <v>8.9225900119563939E-2</v>
      </c>
      <c r="O22" s="485"/>
      <c r="P22" s="8"/>
    </row>
    <row r="23" spans="1:16">
      <c r="K23" s="95" t="s">
        <v>43</v>
      </c>
      <c r="L23" s="103">
        <v>1.2952234957070649E-3</v>
      </c>
      <c r="M23" s="104">
        <v>5.8618138002307007E-3</v>
      </c>
      <c r="N23" s="289">
        <v>2.172024064064026</v>
      </c>
      <c r="O23" s="485"/>
      <c r="P23" s="8"/>
    </row>
    <row r="24" spans="1:16">
      <c r="K24" s="98" t="s">
        <v>44</v>
      </c>
      <c r="L24" s="101">
        <v>4.4217263738721927E-3</v>
      </c>
      <c r="M24" s="102">
        <v>1.5957369642961631E-2</v>
      </c>
      <c r="N24" s="290">
        <v>4.2917998924851417E-2</v>
      </c>
      <c r="O24" s="485"/>
      <c r="P24" s="8"/>
    </row>
    <row r="25" spans="1:16">
      <c r="E25" s="383"/>
      <c r="K25" s="98" t="s">
        <v>45</v>
      </c>
      <c r="L25" s="101">
        <v>4.4158803848548902E-4</v>
      </c>
      <c r="M25" s="102">
        <v>2.0706009552965863E-3</v>
      </c>
      <c r="N25" s="290">
        <v>1.7789200482890011E-2</v>
      </c>
      <c r="O25" s="485"/>
      <c r="P25" s="8"/>
    </row>
    <row r="26" spans="1:16">
      <c r="K26" s="95" t="s">
        <v>46</v>
      </c>
      <c r="L26" s="103">
        <v>3.1727215338406566E-4</v>
      </c>
      <c r="M26" s="104">
        <v>1.3194223170001449E-3</v>
      </c>
      <c r="N26" s="289">
        <v>9.2056000027805566E-3</v>
      </c>
      <c r="O26" s="485"/>
      <c r="P26" s="8"/>
    </row>
    <row r="27" spans="1:16" ht="15.75" thickBot="1">
      <c r="K27" s="105" t="s">
        <v>47</v>
      </c>
      <c r="L27" s="106">
        <v>3.9967466922959218E-3</v>
      </c>
      <c r="M27" s="107">
        <v>1.2963747784204538E-2</v>
      </c>
      <c r="N27" s="108">
        <v>1.0505422461600596E-3</v>
      </c>
      <c r="O27" s="486"/>
      <c r="P27" s="8"/>
    </row>
    <row r="31" spans="1:16" ht="16.5" customHeight="1"/>
    <row r="41" spans="16:17">
      <c r="P41" s="84"/>
      <c r="Q41" s="84"/>
    </row>
    <row r="42" spans="16:17">
      <c r="P42" s="82"/>
    </row>
    <row r="48" spans="16:17">
      <c r="P48" s="82"/>
    </row>
    <row r="49" spans="16:16">
      <c r="P49" s="82"/>
    </row>
  </sheetData>
  <pageMargins left="0.7" right="0.7" top="0.75" bottom="0.75" header="0.3" footer="0.3"/>
  <pageSetup orientation="portrait" horizontalDpi="4294967292" verticalDpi="4294967292"/>
</worksheet>
</file>

<file path=xl/worksheets/sheet14.xml><?xml version="1.0" encoding="utf-8"?>
<worksheet xmlns="http://schemas.openxmlformats.org/spreadsheetml/2006/main" xmlns:r="http://schemas.openxmlformats.org/officeDocument/2006/relationships">
  <sheetPr>
    <tabColor rgb="FFC00000"/>
  </sheetPr>
  <dimension ref="A1:R49"/>
  <sheetViews>
    <sheetView workbookViewId="0">
      <selection activeCell="A17" sqref="A17:I17"/>
    </sheetView>
  </sheetViews>
  <sheetFormatPr defaultColWidth="8.85546875" defaultRowHeight="15"/>
  <cols>
    <col min="3" max="3" width="11.42578125" bestFit="1" customWidth="1"/>
    <col min="9" max="9" width="8.42578125" customWidth="1"/>
    <col min="15" max="15" width="14.140625" customWidth="1"/>
    <col min="16" max="16" width="14.85546875" customWidth="1"/>
    <col min="17" max="17" width="13.28515625" bestFit="1" customWidth="1"/>
  </cols>
  <sheetData>
    <row r="1" spans="1:18">
      <c r="A1" s="3" t="s">
        <v>95</v>
      </c>
    </row>
    <row r="2" spans="1:18" ht="15.75" thickBot="1"/>
    <row r="3" spans="1:18">
      <c r="A3" s="201"/>
      <c r="B3" s="210" t="s">
        <v>14</v>
      </c>
      <c r="C3" s="202" t="s">
        <v>19</v>
      </c>
      <c r="D3" s="202" t="s">
        <v>2220</v>
      </c>
      <c r="E3" s="202" t="s">
        <v>18</v>
      </c>
      <c r="F3" s="202" t="s">
        <v>16</v>
      </c>
      <c r="G3" s="202" t="s">
        <v>2221</v>
      </c>
      <c r="H3" s="202"/>
      <c r="I3" s="203"/>
    </row>
    <row r="4" spans="1:18" ht="15.75" customHeight="1" thickBot="1">
      <c r="A4" s="114" t="s">
        <v>25</v>
      </c>
      <c r="B4" s="115"/>
      <c r="C4" s="115"/>
      <c r="D4" s="115"/>
      <c r="E4" s="115"/>
      <c r="F4" s="115"/>
      <c r="G4" s="115"/>
      <c r="H4" s="115"/>
      <c r="I4" s="116"/>
      <c r="K4" s="86" t="s">
        <v>82</v>
      </c>
      <c r="L4" s="87"/>
      <c r="M4" s="87"/>
      <c r="N4" s="87"/>
    </row>
    <row r="5" spans="1:18" ht="15.75" customHeight="1" thickBot="1">
      <c r="A5" s="118">
        <v>1</v>
      </c>
      <c r="B5" s="111">
        <f>($O$16*'2- Key Assumptions'!$C$66*LIFETIME_MILES/LIFETIME_YEARS)/(1+DISCOUNT_RATE)^A5</f>
        <v>9.3187465168072148</v>
      </c>
      <c r="C5" s="111">
        <f>($O$17*'2- Key Assumptions'!$C$67*LIFETIME_MILES/LIFETIME_YEARS)/(1+DISCOUNT_RATE)^A5</f>
        <v>37.186443404509461</v>
      </c>
      <c r="D5" s="111">
        <f>($O$18*'2- Key Assumptions'!$C$68*LIFETIME_MILES/LIFETIME_YEARS)/(1+DISCOUNT_RATE)^A5</f>
        <v>2.3999061149507779</v>
      </c>
      <c r="E5" s="111">
        <f>($O$19*'2- Key Assumptions'!$C$69*LIFETIME_MILES/LIFETIME_YEARS)/(1+DISCOUNT_RATE)^A5</f>
        <v>4.0026251086517455</v>
      </c>
      <c r="F5" s="111">
        <f>($O$20*'2- Key Assumptions'!$C$70*LIFETIME_MILES/LIFETIME_YEARS)/(1+DISCOUNT_RATE)^A5</f>
        <v>13.492548080998509</v>
      </c>
      <c r="G5" s="111">
        <f>($O$21*'2- Key Assumptions'!$C$71*LIFETIME_MILES/LIFETIME_YEARS)/(1+DISCOUNT_RATE)^A5</f>
        <v>1.2706843031552877</v>
      </c>
      <c r="H5" s="110"/>
      <c r="I5" s="204">
        <f>($O$15*'2- Key Assumptions'!$C$39*LIFETIME_MILES/LIFETIME_YEARS)/(1+DISCOUNT_RATE)^A5</f>
        <v>73.248551042098526</v>
      </c>
      <c r="K5" s="293"/>
      <c r="L5" s="88" t="s">
        <v>21</v>
      </c>
      <c r="M5" s="89"/>
      <c r="N5" s="90"/>
      <c r="O5" s="490" t="s">
        <v>2522</v>
      </c>
    </row>
    <row r="6" spans="1:18" ht="16.5" customHeight="1">
      <c r="A6" s="118">
        <v>2</v>
      </c>
      <c r="B6" s="111">
        <f>($O$16*'2- Key Assumptions'!$C$66*LIFETIME_MILES/LIFETIME_YEARS)/(1+DISCOUNT_RATE)^A6</f>
        <v>8.9603331892377067</v>
      </c>
      <c r="C6" s="111">
        <f>($O$17*'2- Key Assumptions'!$C$67*LIFETIME_MILES/LIFETIME_YEARS)/(1+DISCOUNT_RATE)^A6</f>
        <v>35.756195581259099</v>
      </c>
      <c r="D6" s="111">
        <f>($O$18*'2- Key Assumptions'!$C$68*LIFETIME_MILES/LIFETIME_YEARS)/(1+DISCOUNT_RATE)^A6</f>
        <v>2.3076020336065168</v>
      </c>
      <c r="E6" s="111">
        <f>($O$19*'2- Key Assumptions'!$C$69*LIFETIME_MILES/LIFETIME_YEARS)/(1+DISCOUNT_RATE)^A6</f>
        <v>3.8486779890882166</v>
      </c>
      <c r="F6" s="111">
        <f>($O$20*'2- Key Assumptions'!$C$70*LIFETIME_MILES/LIFETIME_YEARS)/(1+DISCOUNT_RATE)^A6</f>
        <v>12.973603924037025</v>
      </c>
      <c r="G6" s="111">
        <f>($O$21*'2- Key Assumptions'!$C$71*LIFETIME_MILES/LIFETIME_YEARS)/(1+DISCOUNT_RATE)^A6</f>
        <v>1.2218118299570073</v>
      </c>
      <c r="H6" s="110"/>
      <c r="I6" s="204">
        <f>($O$15*'2- Key Assumptions'!$C$39*LIFETIME_MILES/LIFETIME_YEARS)/(1+DISCOUNT_RATE)^A6</f>
        <v>70.431299078940881</v>
      </c>
      <c r="K6" s="91" t="s">
        <v>22</v>
      </c>
      <c r="L6" s="92" t="s">
        <v>23</v>
      </c>
      <c r="M6" s="93" t="s">
        <v>24</v>
      </c>
      <c r="N6" s="94" t="s">
        <v>25</v>
      </c>
      <c r="O6" s="483" t="s">
        <v>25</v>
      </c>
    </row>
    <row r="7" spans="1:18">
      <c r="A7" s="118">
        <v>3</v>
      </c>
      <c r="B7" s="111">
        <f>($O$16*'2- Key Assumptions'!$C$66*LIFETIME_MILES/LIFETIME_YEARS)/(1+DISCOUNT_RATE)^A7</f>
        <v>8.6157049896516416</v>
      </c>
      <c r="C7" s="111">
        <f>($O$17*'2- Key Assumptions'!$C$67*LIFETIME_MILES/LIFETIME_YEARS)/(1+DISCOUNT_RATE)^A7</f>
        <v>34.38095728967221</v>
      </c>
      <c r="D7" s="111">
        <f>($O$18*'2- Key Assumptions'!$C$68*LIFETIME_MILES/LIFETIME_YEARS)/(1+DISCOUNT_RATE)^A7</f>
        <v>2.2188481092370358</v>
      </c>
      <c r="E7" s="111">
        <f>($O$19*'2- Key Assumptions'!$C$69*LIFETIME_MILES/LIFETIME_YEARS)/(1+DISCOUNT_RATE)^A7</f>
        <v>3.7006519125848238</v>
      </c>
      <c r="F7" s="111">
        <f>($O$20*'2- Key Assumptions'!$C$70*LIFETIME_MILES/LIFETIME_YEARS)/(1+DISCOUNT_RATE)^A7</f>
        <v>12.47461915772791</v>
      </c>
      <c r="G7" s="111">
        <f>($O$21*'2- Key Assumptions'!$C$71*LIFETIME_MILES/LIFETIME_YEARS)/(1+DISCOUNT_RATE)^A7</f>
        <v>1.1748190672663532</v>
      </c>
      <c r="H7" s="110"/>
      <c r="I7" s="204">
        <f>($O$15*'2- Key Assumptions'!$C$39*LIFETIME_MILES/LIFETIME_YEARS)/(1+DISCOUNT_RATE)^A7</f>
        <v>67.722402960520085</v>
      </c>
      <c r="K7" s="95" t="s">
        <v>27</v>
      </c>
      <c r="L7" s="96">
        <v>215.71044890888675</v>
      </c>
      <c r="M7" s="97">
        <v>511.6364414796472</v>
      </c>
      <c r="N7" s="291">
        <v>3320.8984378948217</v>
      </c>
      <c r="O7" s="259"/>
    </row>
    <row r="8" spans="1:18">
      <c r="A8" s="118">
        <v>4</v>
      </c>
      <c r="B8" s="111">
        <f>($O$16*'2- Key Assumptions'!$C$66*LIFETIME_MILES/LIFETIME_YEARS)/(1+DISCOUNT_RATE)^A8</f>
        <v>8.2843317208188854</v>
      </c>
      <c r="C8" s="111">
        <f>($O$17*'2- Key Assumptions'!$C$67*LIFETIME_MILES/LIFETIME_YEARS)/(1+DISCOUNT_RATE)^A8</f>
        <v>33.058612778530964</v>
      </c>
      <c r="D8" s="111">
        <f>($O$18*'2- Key Assumptions'!$C$68*LIFETIME_MILES/LIFETIME_YEARS)/(1+DISCOUNT_RATE)^A8</f>
        <v>2.1335077973433032</v>
      </c>
      <c r="E8" s="111">
        <f>($O$19*'2- Key Assumptions'!$C$69*LIFETIME_MILES/LIFETIME_YEARS)/(1+DISCOUNT_RATE)^A8</f>
        <v>3.5583191467161761</v>
      </c>
      <c r="F8" s="111">
        <f>($O$20*'2- Key Assumptions'!$C$70*LIFETIME_MILES/LIFETIME_YEARS)/(1+DISCOUNT_RATE)^A8</f>
        <v>11.994826113199913</v>
      </c>
      <c r="G8" s="111">
        <f>($O$21*'2- Key Assumptions'!$C$71*LIFETIME_MILES/LIFETIME_YEARS)/(1+DISCOUNT_RATE)^A8</f>
        <v>1.1296337185253396</v>
      </c>
      <c r="H8" s="110"/>
      <c r="I8" s="204">
        <f>($O$15*'2- Key Assumptions'!$C$39*LIFETIME_MILES/LIFETIME_YEARS)/(1+DISCOUNT_RATE)^A8</f>
        <v>65.117695154346222</v>
      </c>
      <c r="K8" s="98" t="s">
        <v>28</v>
      </c>
      <c r="L8" s="99">
        <v>209.78819609654414</v>
      </c>
      <c r="M8" s="100">
        <v>471.8578642947794</v>
      </c>
      <c r="N8" s="292">
        <v>3279.634684458993</v>
      </c>
      <c r="O8" s="259"/>
    </row>
    <row r="9" spans="1:18">
      <c r="A9" s="118">
        <v>5</v>
      </c>
      <c r="B9" s="111">
        <f>($O$16*'2- Key Assumptions'!$C$66*LIFETIME_MILES/LIFETIME_YEARS)/(1+DISCOUNT_RATE)^A9</f>
        <v>7.9657035777104657</v>
      </c>
      <c r="C9" s="111">
        <f>($O$17*'2- Key Assumptions'!$C$67*LIFETIME_MILES/LIFETIME_YEARS)/(1+DISCOUNT_RATE)^A9</f>
        <v>31.787127671664386</v>
      </c>
      <c r="D9" s="111">
        <f>($O$18*'2- Key Assumptions'!$C$68*LIFETIME_MILES/LIFETIME_YEARS)/(1+DISCOUNT_RATE)^A9</f>
        <v>2.0514498051377914</v>
      </c>
      <c r="E9" s="111">
        <f>($O$19*'2- Key Assumptions'!$C$69*LIFETIME_MILES/LIFETIME_YEARS)/(1+DISCOUNT_RATE)^A9</f>
        <v>3.421460717996323</v>
      </c>
      <c r="F9" s="111">
        <f>($O$20*'2- Key Assumptions'!$C$70*LIFETIME_MILES/LIFETIME_YEARS)/(1+DISCOUNT_RATE)^A9</f>
        <v>11.533486647307607</v>
      </c>
      <c r="G9" s="111">
        <f>($O$21*'2- Key Assumptions'!$C$71*LIFETIME_MILES/LIFETIME_YEARS)/(1+DISCOUNT_RATE)^A9</f>
        <v>1.0861862678128265</v>
      </c>
      <c r="H9" s="110"/>
      <c r="I9" s="204">
        <f>($O$15*'2- Key Assumptions'!$C$39*LIFETIME_MILES/LIFETIME_YEARS)/(1+DISCOUNT_RATE)^A9</f>
        <v>62.613168417640601</v>
      </c>
      <c r="K9" s="98" t="s">
        <v>29</v>
      </c>
      <c r="L9" s="99">
        <v>22.267471986868969</v>
      </c>
      <c r="M9" s="100">
        <v>27.872697408911737</v>
      </c>
      <c r="N9" s="292">
        <v>0</v>
      </c>
      <c r="O9" s="259"/>
      <c r="R9" s="3"/>
    </row>
    <row r="10" spans="1:18">
      <c r="A10" s="118">
        <v>6</v>
      </c>
      <c r="B10" s="111">
        <f>($O$16*'2- Key Assumptions'!$C$66*LIFETIME_MILES/LIFETIME_YEARS)/(1+DISCOUNT_RATE)^A10</f>
        <v>7.6593303631831393</v>
      </c>
      <c r="C10" s="111">
        <f>($O$17*'2- Key Assumptions'!$C$67*LIFETIME_MILES/LIFETIME_YEARS)/(1+DISCOUNT_RATE)^A10</f>
        <v>30.564545838138834</v>
      </c>
      <c r="D10" s="111">
        <f>($O$18*'2- Key Assumptions'!$C$68*LIFETIME_MILES/LIFETIME_YEARS)/(1+DISCOUNT_RATE)^A10</f>
        <v>1.9725478895555686</v>
      </c>
      <c r="E10" s="111">
        <f>($O$19*'2- Key Assumptions'!$C$69*LIFETIME_MILES/LIFETIME_YEARS)/(1+DISCOUNT_RATE)^A10</f>
        <v>3.2898660749964641</v>
      </c>
      <c r="F10" s="111">
        <f>($O$20*'2- Key Assumptions'!$C$70*LIFETIME_MILES/LIFETIME_YEARS)/(1+DISCOUNT_RATE)^A10</f>
        <v>11.089891007026544</v>
      </c>
      <c r="G10" s="111">
        <f>($O$21*'2- Key Assumptions'!$C$71*LIFETIME_MILES/LIFETIME_YEARS)/(1+DISCOUNT_RATE)^A10</f>
        <v>1.0444098728969484</v>
      </c>
      <c r="H10" s="110"/>
      <c r="I10" s="204">
        <f>($O$15*'2- Key Assumptions'!$C$39*LIFETIME_MILES/LIFETIME_YEARS)/(1+DISCOUNT_RATE)^A10</f>
        <v>60.204969632346732</v>
      </c>
      <c r="K10" s="95" t="s">
        <v>30</v>
      </c>
      <c r="L10" s="96">
        <v>140.97045366125303</v>
      </c>
      <c r="M10" s="97">
        <v>249.74372728973412</v>
      </c>
      <c r="N10" s="291">
        <v>0</v>
      </c>
      <c r="O10" s="259"/>
    </row>
    <row r="11" spans="1:18">
      <c r="A11" s="118">
        <v>7</v>
      </c>
      <c r="B11" s="111">
        <f>($O$16*'2- Key Assumptions'!$C$66*LIFETIME_MILES/LIFETIME_YEARS)/(1+DISCOUNT_RATE)^A11</f>
        <v>7.3647407338299429</v>
      </c>
      <c r="C11" s="111">
        <f>($O$17*'2- Key Assumptions'!$C$67*LIFETIME_MILES/LIFETIME_YEARS)/(1+DISCOUNT_RATE)^A11</f>
        <v>29.388986382825806</v>
      </c>
      <c r="D11" s="111">
        <f>($O$18*'2- Key Assumptions'!$C$68*LIFETIME_MILES/LIFETIME_YEARS)/(1+DISCOUNT_RATE)^A11</f>
        <v>1.8966806630342008</v>
      </c>
      <c r="E11" s="111">
        <f>($O$19*'2- Key Assumptions'!$C$69*LIFETIME_MILES/LIFETIME_YEARS)/(1+DISCOUNT_RATE)^A11</f>
        <v>3.1633327644196774</v>
      </c>
      <c r="F11" s="111">
        <f>($O$20*'2- Key Assumptions'!$C$70*LIFETIME_MILES/LIFETIME_YEARS)/(1+DISCOUNT_RATE)^A11</f>
        <v>10.663356737525525</v>
      </c>
      <c r="G11" s="111">
        <f>($O$21*'2- Key Assumptions'!$C$71*LIFETIME_MILES/LIFETIME_YEARS)/(1+DISCOUNT_RATE)^A11</f>
        <v>1.0042402624009121</v>
      </c>
      <c r="H11" s="110"/>
      <c r="I11" s="204">
        <f>($O$15*'2- Key Assumptions'!$C$39*LIFETIME_MILES/LIFETIME_YEARS)/(1+DISCOUNT_RATE)^A11</f>
        <v>57.889393877256474</v>
      </c>
      <c r="K11" s="95" t="s">
        <v>31</v>
      </c>
      <c r="L11" s="96">
        <v>46.550270448422133</v>
      </c>
      <c r="M11" s="97">
        <v>194.24143959613355</v>
      </c>
      <c r="N11" s="291">
        <v>3279.634684458993</v>
      </c>
      <c r="O11" s="259"/>
    </row>
    <row r="12" spans="1:18">
      <c r="A12" s="118">
        <v>8</v>
      </c>
      <c r="B12" s="111">
        <f>($O$16*'2- Key Assumptions'!$C$66*LIFETIME_MILES/LIFETIME_YEARS)/(1+DISCOUNT_RATE)^A12</f>
        <v>7.0814814748364823</v>
      </c>
      <c r="C12" s="111">
        <f>($O$17*'2- Key Assumptions'!$C$67*LIFETIME_MILES/LIFETIME_YEARS)/(1+DISCOUNT_RATE)^A12</f>
        <v>28.258640752717117</v>
      </c>
      <c r="D12" s="111">
        <f>($O$18*'2- Key Assumptions'!$C$68*LIFETIME_MILES/LIFETIME_YEARS)/(1+DISCOUNT_RATE)^A12</f>
        <v>1.8237314067636543</v>
      </c>
      <c r="E12" s="111">
        <f>($O$19*'2- Key Assumptions'!$C$69*LIFETIME_MILES/LIFETIME_YEARS)/(1+DISCOUNT_RATE)^A12</f>
        <v>3.0416661196343049</v>
      </c>
      <c r="F12" s="111">
        <f>($O$20*'2- Key Assumptions'!$C$70*LIFETIME_MILES/LIFETIME_YEARS)/(1+DISCOUNT_RATE)^A12</f>
        <v>10.253227632236079</v>
      </c>
      <c r="G12" s="111">
        <f>($O$21*'2- Key Assumptions'!$C$71*LIFETIME_MILES/LIFETIME_YEARS)/(1+DISCOUNT_RATE)^A12</f>
        <v>0.96561563692395369</v>
      </c>
      <c r="H12" s="110"/>
      <c r="I12" s="204">
        <f>($O$15*'2- Key Assumptions'!$C$39*LIFETIME_MILES/LIFETIME_YEARS)/(1+DISCOUNT_RATE)^A12</f>
        <v>55.662878728131219</v>
      </c>
      <c r="K12" s="98" t="s">
        <v>78</v>
      </c>
      <c r="L12" s="99">
        <v>15.261179436496564</v>
      </c>
      <c r="M12" s="100">
        <v>39.012081248709265</v>
      </c>
      <c r="N12" s="292">
        <v>255.08229583345263</v>
      </c>
      <c r="O12" s="259"/>
    </row>
    <row r="13" spans="1:18">
      <c r="A13" s="118">
        <v>9</v>
      </c>
      <c r="B13" s="111">
        <f>($O$16*'2- Key Assumptions'!$C$66*LIFETIME_MILES/LIFETIME_YEARS)/(1+DISCOUNT_RATE)^A13</f>
        <v>6.8091168027273863</v>
      </c>
      <c r="C13" s="111">
        <f>($O$17*'2- Key Assumptions'!$C$67*LIFETIME_MILES/LIFETIME_YEARS)/(1+DISCOUNT_RATE)^A13</f>
        <v>27.171769954535687</v>
      </c>
      <c r="D13" s="111">
        <f>($O$18*'2- Key Assumptions'!$C$68*LIFETIME_MILES/LIFETIME_YEARS)/(1+DISCOUNT_RATE)^A13</f>
        <v>1.7535878911188982</v>
      </c>
      <c r="E13" s="111">
        <f>($O$19*'2- Key Assumptions'!$C$69*LIFETIME_MILES/LIFETIME_YEARS)/(1+DISCOUNT_RATE)^A13</f>
        <v>2.9246789611868311</v>
      </c>
      <c r="F13" s="111">
        <f>($O$20*'2- Key Assumptions'!$C$70*LIFETIME_MILES/LIFETIME_YEARS)/(1+DISCOUNT_RATE)^A13</f>
        <v>9.8588727233039215</v>
      </c>
      <c r="G13" s="111">
        <f>($O$21*'2- Key Assumptions'!$C$71*LIFETIME_MILES/LIFETIME_YEARS)/(1+DISCOUNT_RATE)^A13</f>
        <v>0.92847657396534</v>
      </c>
      <c r="H13" s="110"/>
      <c r="I13" s="204">
        <f>($O$15*'2- Key Assumptions'!$C$39*LIFETIME_MILES/LIFETIME_YEARS)/(1+DISCOUNT_RATE)^A13</f>
        <v>53.521998777049241</v>
      </c>
      <c r="K13" s="98" t="s">
        <v>33</v>
      </c>
      <c r="L13" s="101">
        <v>0.29837715295525091</v>
      </c>
      <c r="M13" s="102">
        <v>0.1298802161359027</v>
      </c>
      <c r="N13" s="290">
        <v>4.9819998409897093E-3</v>
      </c>
      <c r="O13" s="259"/>
    </row>
    <row r="14" spans="1:18">
      <c r="A14" s="118">
        <v>10</v>
      </c>
      <c r="B14" s="111">
        <f>($O$16*'2- Key Assumptions'!$C$66*LIFETIME_MILES/LIFETIME_YEARS)/(1+DISCOUNT_RATE)^A14</f>
        <v>6.5472276949301786</v>
      </c>
      <c r="C14" s="111">
        <f>($O$17*'2- Key Assumptions'!$C$67*LIFETIME_MILES/LIFETIME_YEARS)/(1+DISCOUNT_RATE)^A14</f>
        <v>26.126701879361235</v>
      </c>
      <c r="D14" s="111">
        <f>($O$18*'2- Key Assumptions'!$C$68*LIFETIME_MILES/LIFETIME_YEARS)/(1+DISCOUNT_RATE)^A14</f>
        <v>1.6861422029989406</v>
      </c>
      <c r="E14" s="111">
        <f>($O$19*'2- Key Assumptions'!$C$69*LIFETIME_MILES/LIFETIME_YEARS)/(1+DISCOUNT_RATE)^A14</f>
        <v>2.8121913088334916</v>
      </c>
      <c r="F14" s="111">
        <f>($O$20*'2- Key Assumptions'!$C$70*LIFETIME_MILES/LIFETIME_YEARS)/(1+DISCOUNT_RATE)^A14</f>
        <v>9.4796853108691561</v>
      </c>
      <c r="G14" s="111">
        <f>($O$21*'2- Key Assumptions'!$C$71*LIFETIME_MILES/LIFETIME_YEARS)/(1+DISCOUNT_RATE)^A14</f>
        <v>0.89276593650513469</v>
      </c>
      <c r="H14" s="110"/>
      <c r="I14" s="204">
        <f>($O$15*'2- Key Assumptions'!$C$39*LIFETIME_MILES/LIFETIME_YEARS)/(1+DISCOUNT_RATE)^A14</f>
        <v>51.463460362547352</v>
      </c>
      <c r="K14" s="95" t="s">
        <v>34</v>
      </c>
      <c r="L14" s="103">
        <v>2.4663158166317729E-4</v>
      </c>
      <c r="M14" s="104">
        <v>2.168372703543408E-3</v>
      </c>
      <c r="N14" s="289">
        <v>1.2000000104308128E-2</v>
      </c>
      <c r="O14" s="259"/>
    </row>
    <row r="15" spans="1:18">
      <c r="A15" s="118">
        <v>11</v>
      </c>
      <c r="B15" s="111">
        <f>($O$16*'2- Key Assumptions'!$C$66*LIFETIME_MILES/LIFETIME_YEARS)/(1+DISCOUNT_RATE)^A15</f>
        <v>6.2954112451251723</v>
      </c>
      <c r="C15" s="111">
        <f>($O$17*'2- Key Assumptions'!$C$67*LIFETIME_MILES/LIFETIME_YEARS)/(1+DISCOUNT_RATE)^A15</f>
        <v>25.121828730155038</v>
      </c>
      <c r="D15" s="111">
        <f>($O$18*'2- Key Assumptions'!$C$68*LIFETIME_MILES/LIFETIME_YEARS)/(1+DISCOUNT_RATE)^A15</f>
        <v>1.6212905798066737</v>
      </c>
      <c r="E15" s="111">
        <f>($O$19*'2- Key Assumptions'!$C$69*LIFETIME_MILES/LIFETIME_YEARS)/(1+DISCOUNT_RATE)^A15</f>
        <v>2.7040301046475883</v>
      </c>
      <c r="F15" s="111">
        <f>($O$20*'2- Key Assumptions'!$C$70*LIFETIME_MILES/LIFETIME_YEARS)/(1+DISCOUNT_RATE)^A15</f>
        <v>9.1150820296818811</v>
      </c>
      <c r="G15" s="111">
        <f>($O$21*'2- Key Assumptions'!$C$71*LIFETIME_MILES/LIFETIME_YEARS)/(1+DISCOUNT_RATE)^A15</f>
        <v>0.85842878510109111</v>
      </c>
      <c r="H15" s="117"/>
      <c r="I15" s="204">
        <f>($O$15*'2- Key Assumptions'!$C$39*LIFETIME_MILES/LIFETIME_YEARS)/(1+DISCOUNT_RATE)^A15</f>
        <v>49.484096502449376</v>
      </c>
      <c r="K15" s="95" t="s">
        <v>35</v>
      </c>
      <c r="L15" s="96">
        <v>22.794104471713464</v>
      </c>
      <c r="M15" s="97">
        <v>42.90526171776277</v>
      </c>
      <c r="N15" s="291">
        <v>258.78284586056122</v>
      </c>
      <c r="O15" s="484">
        <f t="shared" ref="O15:O21" si="0">N15/1000000</f>
        <v>2.5878284586056122E-4</v>
      </c>
    </row>
    <row r="16" spans="1:18" ht="15.75" thickBot="1">
      <c r="A16" s="118">
        <v>12</v>
      </c>
      <c r="B16" s="111">
        <f>($O$16*'2- Key Assumptions'!$C$66*LIFETIME_MILES/LIFETIME_YEARS)/(1+DISCOUNT_RATE)^A16</f>
        <v>6.0532800433895879</v>
      </c>
      <c r="C16" s="111">
        <f>($O$17*'2- Key Assumptions'!$C$67*LIFETIME_MILES/LIFETIME_YEARS)/(1+DISCOUNT_RATE)^A16</f>
        <v>24.155604548225991</v>
      </c>
      <c r="D16" s="111">
        <f>($O$18*'2- Key Assumptions'!$C$68*LIFETIME_MILES/LIFETIME_YEARS)/(1+DISCOUNT_RATE)^A16</f>
        <v>1.5589332498141091</v>
      </c>
      <c r="E16" s="111">
        <f>($O$19*'2- Key Assumptions'!$C$69*LIFETIME_MILES/LIFETIME_YEARS)/(1+DISCOUNT_RATE)^A16</f>
        <v>2.6000289467765265</v>
      </c>
      <c r="F16" s="111">
        <f>($O$20*'2- Key Assumptions'!$C$70*LIFETIME_MILES/LIFETIME_YEARS)/(1+DISCOUNT_RATE)^A16</f>
        <v>8.7645019516171914</v>
      </c>
      <c r="G16" s="111">
        <f>($O$21*'2- Key Assumptions'!$C$71*LIFETIME_MILES/LIFETIME_YEARS)/(1+DISCOUNT_RATE)^A16</f>
        <v>0.82541229336643351</v>
      </c>
      <c r="H16" s="117"/>
      <c r="I16" s="204">
        <f>($O$15*'2- Key Assumptions'!$C$39*LIFETIME_MILES/LIFETIME_YEARS)/(1+DISCOUNT_RATE)^A16</f>
        <v>47.580862021585929</v>
      </c>
      <c r="K16" s="98" t="s">
        <v>36</v>
      </c>
      <c r="L16" s="101">
        <v>1.1888417303177239E-2</v>
      </c>
      <c r="M16" s="102">
        <v>7.8136853235808573E-2</v>
      </c>
      <c r="N16" s="290">
        <v>0.10830000142455098</v>
      </c>
      <c r="O16" s="485">
        <f t="shared" si="0"/>
        <v>1.0830000142455098E-7</v>
      </c>
    </row>
    <row r="17" spans="1:16" ht="15.75" thickBot="1">
      <c r="A17" s="503" t="s">
        <v>88</v>
      </c>
      <c r="B17" s="504">
        <f t="shared" ref="B17:G17" si="1">SUM(B5:B16)</f>
        <v>90.955408352247801</v>
      </c>
      <c r="C17" s="504">
        <f t="shared" si="1"/>
        <v>362.95741481159581</v>
      </c>
      <c r="D17" s="504">
        <f t="shared" si="1"/>
        <v>23.424227743367467</v>
      </c>
      <c r="E17" s="504">
        <f t="shared" si="1"/>
        <v>39.067529155532164</v>
      </c>
      <c r="F17" s="504">
        <f t="shared" si="1"/>
        <v>131.69370131553126</v>
      </c>
      <c r="G17" s="504">
        <f t="shared" si="1"/>
        <v>12.402484547876631</v>
      </c>
      <c r="H17" s="504"/>
      <c r="I17" s="505">
        <f>SUM(I5:I16)</f>
        <v>714.94077655491265</v>
      </c>
      <c r="K17" s="98" t="s">
        <v>37</v>
      </c>
      <c r="L17" s="101">
        <v>1.8590437327741027E-2</v>
      </c>
      <c r="M17" s="102">
        <v>2.0823266723778169E-2</v>
      </c>
      <c r="N17" s="290">
        <v>3.4920001029968262</v>
      </c>
      <c r="O17" s="485">
        <f t="shared" si="0"/>
        <v>3.492000102996826E-6</v>
      </c>
    </row>
    <row r="18" spans="1:16">
      <c r="K18" s="95" t="s">
        <v>38</v>
      </c>
      <c r="L18" s="103">
        <v>8.5433069695520183E-2</v>
      </c>
      <c r="M18" s="104">
        <v>5.7620644006734646E-2</v>
      </c>
      <c r="N18" s="289">
        <v>5.7959996738433883E-2</v>
      </c>
      <c r="O18" s="485">
        <f t="shared" si="0"/>
        <v>5.7959996738433883E-8</v>
      </c>
    </row>
    <row r="19" spans="1:16">
      <c r="K19" s="95" t="s">
        <v>39</v>
      </c>
      <c r="L19" s="103">
        <v>8.5170000377016233E-3</v>
      </c>
      <c r="M19" s="104">
        <v>1.389187720896159E-2</v>
      </c>
      <c r="N19" s="289">
        <v>2.8600000776350498E-2</v>
      </c>
      <c r="O19" s="485">
        <f t="shared" si="0"/>
        <v>2.8600000776350498E-8</v>
      </c>
      <c r="P19" s="8"/>
    </row>
    <row r="20" spans="1:16">
      <c r="E20" s="109"/>
      <c r="K20" s="98" t="s">
        <v>40</v>
      </c>
      <c r="L20" s="101">
        <v>5.160442156279004E-3</v>
      </c>
      <c r="M20" s="102">
        <v>7.036464855361968E-3</v>
      </c>
      <c r="N20" s="290">
        <v>1.4800000004470348E-2</v>
      </c>
      <c r="O20" s="485">
        <f t="shared" si="0"/>
        <v>1.4800000004470349E-8</v>
      </c>
      <c r="P20" s="8"/>
    </row>
    <row r="21" spans="1:16">
      <c r="I21" s="109"/>
      <c r="K21" s="98" t="s">
        <v>41</v>
      </c>
      <c r="L21" s="101">
        <v>3.6113183705534221E-2</v>
      </c>
      <c r="M21" s="102">
        <v>3.9022614177991223E-2</v>
      </c>
      <c r="N21" s="290">
        <v>4.1439688782737511E-3</v>
      </c>
      <c r="O21" s="485">
        <f t="shared" si="0"/>
        <v>4.1439688782737511E-9</v>
      </c>
      <c r="P21" s="8"/>
    </row>
    <row r="22" spans="1:16">
      <c r="K22" s="95" t="s">
        <v>42</v>
      </c>
      <c r="L22" s="103">
        <v>1.9643430507126063E-3</v>
      </c>
      <c r="M22" s="104">
        <v>4.9632124042350387E-2</v>
      </c>
      <c r="N22" s="289">
        <v>6.7362600886070712E-2</v>
      </c>
      <c r="O22" s="485"/>
      <c r="P22" s="8"/>
    </row>
    <row r="23" spans="1:16">
      <c r="K23" s="95" t="s">
        <v>43</v>
      </c>
      <c r="L23" s="103">
        <v>8.7274517651073243E-4</v>
      </c>
      <c r="M23" s="104">
        <v>9.0877212888428004E-3</v>
      </c>
      <c r="N23" s="289">
        <v>2.172024064064026</v>
      </c>
      <c r="O23" s="485"/>
      <c r="P23" s="8"/>
    </row>
    <row r="24" spans="1:16">
      <c r="K24" s="98" t="s">
        <v>44</v>
      </c>
      <c r="L24" s="101">
        <v>4.0177999542229826E-3</v>
      </c>
      <c r="M24" s="102">
        <v>1.9780011558683124E-2</v>
      </c>
      <c r="N24" s="290">
        <v>3.6051117971305877E-2</v>
      </c>
      <c r="O24" s="485"/>
      <c r="P24" s="8"/>
    </row>
    <row r="25" spans="1:16">
      <c r="K25" s="98" t="s">
        <v>45</v>
      </c>
      <c r="L25" s="101">
        <v>3.1396655521224597E-4</v>
      </c>
      <c r="M25" s="102">
        <v>4.3859900705669839E-3</v>
      </c>
      <c r="N25" s="290">
        <v>1.7789200482890011E-2</v>
      </c>
      <c r="O25" s="485"/>
      <c r="P25" s="8"/>
    </row>
    <row r="26" spans="1:16">
      <c r="K26" s="95" t="s">
        <v>46</v>
      </c>
      <c r="L26" s="103">
        <v>2.7139564343316099E-4</v>
      </c>
      <c r="M26" s="104">
        <v>2.6823146482692702E-3</v>
      </c>
      <c r="N26" s="289">
        <v>9.2056000027805566E-3</v>
      </c>
      <c r="O26" s="485"/>
      <c r="P26" s="8"/>
    </row>
    <row r="27" spans="1:16" ht="15.75" thickBot="1">
      <c r="K27" s="105" t="s">
        <v>47</v>
      </c>
      <c r="L27" s="106">
        <v>2.4842039318585057E-3</v>
      </c>
      <c r="M27" s="107">
        <v>1.5895950430041411E-2</v>
      </c>
      <c r="N27" s="108">
        <v>2.577548642286273E-3</v>
      </c>
      <c r="O27" s="486"/>
      <c r="P27" s="8"/>
    </row>
    <row r="31" spans="1:16" ht="16.5" customHeight="1"/>
    <row r="41" spans="16:17">
      <c r="P41" s="84"/>
      <c r="Q41" s="84"/>
    </row>
    <row r="42" spans="16:17">
      <c r="P42" s="82"/>
    </row>
    <row r="48" spans="16:17">
      <c r="P48" s="82"/>
    </row>
    <row r="49" spans="16:16">
      <c r="P49" s="82"/>
    </row>
  </sheetData>
  <pageMargins left="0.7" right="0.7" top="0.75" bottom="0.75" header="0.3" footer="0.3"/>
  <pageSetup orientation="portrait" horizontalDpi="4294967292" verticalDpi="4294967292"/>
</worksheet>
</file>

<file path=xl/worksheets/sheet15.xml><?xml version="1.0" encoding="utf-8"?>
<worksheet xmlns="http://schemas.openxmlformats.org/spreadsheetml/2006/main" xmlns:r="http://schemas.openxmlformats.org/officeDocument/2006/relationships">
  <sheetPr>
    <tabColor rgb="FFC00000"/>
  </sheetPr>
  <dimension ref="A1:R49"/>
  <sheetViews>
    <sheetView workbookViewId="0">
      <selection activeCell="A17" sqref="A17:I17"/>
    </sheetView>
  </sheetViews>
  <sheetFormatPr defaultColWidth="8.85546875" defaultRowHeight="15"/>
  <cols>
    <col min="3" max="3" width="11.42578125" bestFit="1" customWidth="1"/>
    <col min="9" max="9" width="8.42578125" customWidth="1"/>
    <col min="15" max="15" width="14.140625" customWidth="1"/>
    <col min="16" max="16" width="14.85546875" customWidth="1"/>
    <col min="17" max="17" width="13.28515625" bestFit="1" customWidth="1"/>
  </cols>
  <sheetData>
    <row r="1" spans="1:18">
      <c r="A1" s="3" t="s">
        <v>95</v>
      </c>
    </row>
    <row r="2" spans="1:18" ht="15.75" thickBot="1"/>
    <row r="3" spans="1:18">
      <c r="A3" s="201"/>
      <c r="B3" s="210" t="s">
        <v>14</v>
      </c>
      <c r="C3" s="202" t="s">
        <v>19</v>
      </c>
      <c r="D3" s="202" t="s">
        <v>2220</v>
      </c>
      <c r="E3" s="202" t="s">
        <v>18</v>
      </c>
      <c r="F3" s="202" t="s">
        <v>16</v>
      </c>
      <c r="G3" s="202" t="s">
        <v>2221</v>
      </c>
      <c r="H3" s="202"/>
      <c r="I3" s="203"/>
    </row>
    <row r="4" spans="1:18" ht="15.75" customHeight="1" thickBot="1">
      <c r="A4" s="114" t="s">
        <v>25</v>
      </c>
      <c r="B4" s="115"/>
      <c r="C4" s="115"/>
      <c r="D4" s="115"/>
      <c r="E4" s="115"/>
      <c r="F4" s="115"/>
      <c r="G4" s="115"/>
      <c r="H4" s="115"/>
      <c r="I4" s="116"/>
      <c r="K4" s="86" t="s">
        <v>85</v>
      </c>
      <c r="L4" s="87"/>
      <c r="M4" s="87"/>
      <c r="N4" s="87"/>
    </row>
    <row r="5" spans="1:18" ht="15.75" customHeight="1" thickBot="1">
      <c r="A5" s="118">
        <v>1</v>
      </c>
      <c r="B5" s="111">
        <f>($O$16*'2- Key Assumptions'!$C$66*LIFETIME_MILES/LIFETIME_YEARS)/(1+DISCOUNT_RATE)^A5</f>
        <v>10.626640523707744</v>
      </c>
      <c r="C5" s="111">
        <f>($O$17*'2- Key Assumptions'!$C$67*LIFETIME_MILES/LIFETIME_YEARS)/(1+DISCOUNT_RATE)^A5</f>
        <v>37.186443404509461</v>
      </c>
      <c r="D5" s="111">
        <f>($O$18*'2- Key Assumptions'!$C$68*LIFETIME_MILES/LIFETIME_YEARS)/(1+DISCOUNT_RATE)^A5</f>
        <v>2.8570311784278601</v>
      </c>
      <c r="E5" s="111">
        <f>($O$19*'2- Key Assumptions'!$C$69*LIFETIME_MILES/LIFETIME_YEARS)/(1+DISCOUNT_RATE)^A5</f>
        <v>4.0026251086517455</v>
      </c>
      <c r="F5" s="111">
        <f>($O$20*'2- Key Assumptions'!$C$70*LIFETIME_MILES/LIFETIME_YEARS)/(1+DISCOUNT_RATE)^A5</f>
        <v>13.492548080998509</v>
      </c>
      <c r="G5" s="111">
        <f>($O$21*'2- Key Assumptions'!$C$71*LIFETIME_MILES/LIFETIME_YEARS)/(1+DISCOUNT_RATE)^A5</f>
        <v>0.37172177178613802</v>
      </c>
      <c r="H5" s="110"/>
      <c r="I5" s="204">
        <f>($O$15*SCC*LIFETIME_MILES/LIFETIME_YEARS)/(1+DISCOUNT_RATE)^A5</f>
        <v>77.588036828029828</v>
      </c>
      <c r="K5" s="293"/>
      <c r="L5" s="88" t="s">
        <v>21</v>
      </c>
      <c r="M5" s="89"/>
      <c r="N5" s="90"/>
      <c r="O5" s="490" t="s">
        <v>2522</v>
      </c>
    </row>
    <row r="6" spans="1:18" ht="16.5" customHeight="1">
      <c r="A6" s="118">
        <v>2</v>
      </c>
      <c r="B6" s="111">
        <f>($O$16*'2- Key Assumptions'!$C$66*LIFETIME_MILES/LIFETIME_YEARS)/(1+DISCOUNT_RATE)^A6</f>
        <v>10.217923580488215</v>
      </c>
      <c r="C6" s="111">
        <f>($O$17*'2- Key Assumptions'!$C$67*LIFETIME_MILES/LIFETIME_YEARS)/(1+DISCOUNT_RATE)^A6</f>
        <v>35.756195581259099</v>
      </c>
      <c r="D6" s="111">
        <f>($O$18*'2- Key Assumptions'!$C$68*LIFETIME_MILES/LIFETIME_YEARS)/(1+DISCOUNT_RATE)^A6</f>
        <v>2.7471453638729422</v>
      </c>
      <c r="E6" s="111">
        <f>($O$19*'2- Key Assumptions'!$C$69*'2- Key Assumptions'!$C$3/'2- Key Assumptions'!$C$4)/(1+'2- Key Assumptions'!$C$5)^A6</f>
        <v>3.8486779890882166</v>
      </c>
      <c r="F6" s="111">
        <f>($O$20*'2- Key Assumptions'!$C$70*'2- Key Assumptions'!$C$3/'2- Key Assumptions'!$C$4)/(1+'2- Key Assumptions'!$C$5)^A6</f>
        <v>12.973603924037025</v>
      </c>
      <c r="G6" s="111">
        <f>($O$21*'2- Key Assumptions'!$C$71*'2- Key Assumptions'!$C$3/'2- Key Assumptions'!$C$4)/(1+'2- Key Assumptions'!$C$5)^A6</f>
        <v>0.35742478056359422</v>
      </c>
      <c r="H6" s="110"/>
      <c r="I6" s="204">
        <f>($O$15*'2- Key Assumptions'!$C$39*'2- Key Assumptions'!$C$3/'2- Key Assumptions'!$C$4)/(1+'2- Key Assumptions'!$C$5)^A6</f>
        <v>74.603881565413289</v>
      </c>
      <c r="K6" s="91" t="s">
        <v>22</v>
      </c>
      <c r="L6" s="92" t="s">
        <v>23</v>
      </c>
      <c r="M6" s="93" t="s">
        <v>24</v>
      </c>
      <c r="N6" s="94" t="s">
        <v>25</v>
      </c>
      <c r="O6" s="483" t="s">
        <v>25</v>
      </c>
    </row>
    <row r="7" spans="1:18">
      <c r="A7" s="118">
        <v>3</v>
      </c>
      <c r="B7" s="111">
        <f>($O$16*'2- Key Assumptions'!$C$66*LIFETIME_MILES/LIFETIME_YEARS)/(1+DISCOUNT_RATE)^A7</f>
        <v>9.824926519700206</v>
      </c>
      <c r="C7" s="111">
        <f>($O$17*'2- Key Assumptions'!$C$67*LIFETIME_MILES/LIFETIME_YEARS)/(1+DISCOUNT_RATE)^A7</f>
        <v>34.38095728967221</v>
      </c>
      <c r="D7" s="111">
        <f>($O$18*'2- Key Assumptions'!$C$68*LIFETIME_MILES/LIFETIME_YEARS)/(1+DISCOUNT_RATE)^A7</f>
        <v>2.6414859268009061</v>
      </c>
      <c r="E7" s="111">
        <f>($O$19*'2- Key Assumptions'!$C$69*'2- Key Assumptions'!$C$3/'2- Key Assumptions'!$C$4)/(1+'2- Key Assumptions'!$C$5)^A7</f>
        <v>3.7006519125848238</v>
      </c>
      <c r="F7" s="111">
        <f>($O$20*'2- Key Assumptions'!$C$70*'2- Key Assumptions'!$C$3/'2- Key Assumptions'!$C$4)/(1+'2- Key Assumptions'!$C$5)^A7</f>
        <v>12.47461915772791</v>
      </c>
      <c r="G7" s="111">
        <f>($O$21*'2- Key Assumptions'!$C$71*'2- Key Assumptions'!$C$3/'2- Key Assumptions'!$C$4)/(1+'2- Key Assumptions'!$C$5)^A7</f>
        <v>0.34367767361884061</v>
      </c>
      <c r="H7" s="110"/>
      <c r="I7" s="204">
        <f>($O$15*'2- Key Assumptions'!$C$39*'2- Key Assumptions'!$C$3/'2- Key Assumptions'!$C$4)/(1+'2- Key Assumptions'!$C$5)^A7</f>
        <v>71.734501505205088</v>
      </c>
      <c r="K7" s="95" t="s">
        <v>27</v>
      </c>
      <c r="L7" s="96">
        <v>468.1664078716172</v>
      </c>
      <c r="M7" s="97">
        <v>313.8240392115747</v>
      </c>
      <c r="N7" s="291">
        <v>4513.8425854547895</v>
      </c>
      <c r="O7" s="259"/>
    </row>
    <row r="8" spans="1:18">
      <c r="A8" s="118">
        <v>4</v>
      </c>
      <c r="B8" s="111">
        <f>($O$16*'2- Key Assumptions'!$C$66*LIFETIME_MILES/LIFETIME_YEARS)/(1+DISCOUNT_RATE)^A8</f>
        <v>9.4470447304809664</v>
      </c>
      <c r="C8" s="111">
        <f>($O$17*'2- Key Assumptions'!$C$67*LIFETIME_MILES/LIFETIME_YEARS)/(1+DISCOUNT_RATE)^A8</f>
        <v>33.058612778530964</v>
      </c>
      <c r="D8" s="111">
        <f>($O$18*'2- Key Assumptions'!$C$68*LIFETIME_MILES/LIFETIME_YEARS)/(1+DISCOUNT_RATE)^A8</f>
        <v>2.53989031423164</v>
      </c>
      <c r="E8" s="111">
        <f>($O$19*'2- Key Assumptions'!$C$69*'2- Key Assumptions'!$C$3/'2- Key Assumptions'!$C$4)/(1+'2- Key Assumptions'!$C$5)^A8</f>
        <v>3.5583191467161761</v>
      </c>
      <c r="F8" s="111">
        <f>($O$20*'2- Key Assumptions'!$C$70*'2- Key Assumptions'!$C$3/'2- Key Assumptions'!$C$4)/(1+'2- Key Assumptions'!$C$5)^A8</f>
        <v>11.994826113199913</v>
      </c>
      <c r="G8" s="111">
        <f>($O$21*'2- Key Assumptions'!$C$71*'2- Key Assumptions'!$C$3/'2- Key Assumptions'!$C$4)/(1+'2- Key Assumptions'!$C$5)^A8</f>
        <v>0.33045930155657743</v>
      </c>
      <c r="H8" s="110"/>
      <c r="I8" s="204">
        <f>($O$15*'2- Key Assumptions'!$C$39*'2- Key Assumptions'!$C$3/'2- Key Assumptions'!$C$4)/(1+'2- Key Assumptions'!$C$5)^A8</f>
        <v>68.975482216543341</v>
      </c>
      <c r="K8" s="98" t="s">
        <v>28</v>
      </c>
      <c r="L8" s="99">
        <v>465.38668830645008</v>
      </c>
      <c r="M8" s="100">
        <v>266.04615911608391</v>
      </c>
      <c r="N8" s="292">
        <v>4513.8425854547895</v>
      </c>
      <c r="O8" s="259"/>
    </row>
    <row r="9" spans="1:18">
      <c r="A9" s="118">
        <v>5</v>
      </c>
      <c r="B9" s="111">
        <f>($O$16*'2- Key Assumptions'!$C$66*LIFETIME_MILES/LIFETIME_YEARS)/(1+DISCOUNT_RATE)^A9</f>
        <v>9.0836968562316969</v>
      </c>
      <c r="C9" s="111">
        <f>($O$17*'2- Key Assumptions'!$C$67*LIFETIME_MILES/LIFETIME_YEARS)/(1+DISCOUNT_RATE)^A9</f>
        <v>31.787127671664386</v>
      </c>
      <c r="D9" s="111">
        <f>($O$18*'2- Key Assumptions'!$C$68*LIFETIME_MILES/LIFETIME_YEARS)/(1+DISCOUNT_RATE)^A9</f>
        <v>2.4422022252227307</v>
      </c>
      <c r="E9" s="111">
        <f>($O$19*'2- Key Assumptions'!$C$69*'2- Key Assumptions'!$C$3/'2- Key Assumptions'!$C$4)/(1+'2- Key Assumptions'!$C$5)^A9</f>
        <v>3.421460717996323</v>
      </c>
      <c r="F9" s="111">
        <f>($O$20*'2- Key Assumptions'!$C$70*'2- Key Assumptions'!$C$3/'2- Key Assumptions'!$C$4)/(1+'2- Key Assumptions'!$C$5)^A9</f>
        <v>11.533486647307607</v>
      </c>
      <c r="G9" s="111">
        <f>($O$21*'2- Key Assumptions'!$C$71*'2- Key Assumptions'!$C$3/'2- Key Assumptions'!$C$4)/(1+'2- Key Assumptions'!$C$5)^A9</f>
        <v>0.31774932841978598</v>
      </c>
      <c r="H9" s="110"/>
      <c r="I9" s="204">
        <f>($O$15*'2- Key Assumptions'!$C$39*'2- Key Assumptions'!$C$3/'2- Key Assumptions'!$C$4)/(1+'2- Key Assumptions'!$C$5)^A9</f>
        <v>66.322579054368589</v>
      </c>
      <c r="K9" s="98" t="s">
        <v>29</v>
      </c>
      <c r="L9" s="99">
        <v>10.451786000072879</v>
      </c>
      <c r="M9" s="100">
        <v>179.63707021906089</v>
      </c>
      <c r="N9" s="292">
        <v>0</v>
      </c>
      <c r="O9" s="259"/>
      <c r="R9" s="3"/>
    </row>
    <row r="10" spans="1:18">
      <c r="A10" s="118">
        <v>6</v>
      </c>
      <c r="B10" s="111">
        <f>($O$16*'2- Key Assumptions'!$C$66*LIFETIME_MILES/LIFETIME_YEARS)/(1+DISCOUNT_RATE)^A10</f>
        <v>8.7343239002227868</v>
      </c>
      <c r="C10" s="111">
        <f>($O$17*'2- Key Assumptions'!$C$67*LIFETIME_MILES/LIFETIME_YEARS)/(1+DISCOUNT_RATE)^A10</f>
        <v>30.564545838138834</v>
      </c>
      <c r="D10" s="111">
        <f>($O$18*'2- Key Assumptions'!$C$68*LIFETIME_MILES/LIFETIME_YEARS)/(1+DISCOUNT_RATE)^A10</f>
        <v>2.3482713704064717</v>
      </c>
      <c r="E10" s="111">
        <f>($O$19*'2- Key Assumptions'!$C$69*'2- Key Assumptions'!$C$3/'2- Key Assumptions'!$C$4)/(1+'2- Key Assumptions'!$C$5)^A10</f>
        <v>3.2898660749964641</v>
      </c>
      <c r="F10" s="111">
        <f>($O$20*'2- Key Assumptions'!$C$70*'2- Key Assumptions'!$C$3/'2- Key Assumptions'!$C$4)/(1+'2- Key Assumptions'!$C$5)^A10</f>
        <v>11.089891007026544</v>
      </c>
      <c r="G10" s="111">
        <f>($O$21*'2- Key Assumptions'!$C$71*'2- Key Assumptions'!$C$3/'2- Key Assumptions'!$C$4)/(1+'2- Key Assumptions'!$C$5)^A10</f>
        <v>0.30552820040364037</v>
      </c>
      <c r="H10" s="110"/>
      <c r="I10" s="204">
        <f>($O$15*'2- Key Assumptions'!$C$39*'2- Key Assumptions'!$C$3/'2- Key Assumptions'!$C$4)/(1+'2- Key Assumptions'!$C$5)^A10</f>
        <v>63.77171062920057</v>
      </c>
      <c r="K10" s="95" t="s">
        <v>30</v>
      </c>
      <c r="L10" s="96">
        <v>436.32155499761893</v>
      </c>
      <c r="M10" s="97">
        <v>79.584813756407684</v>
      </c>
      <c r="N10" s="291">
        <v>4513.8425854547895</v>
      </c>
      <c r="O10" s="259"/>
    </row>
    <row r="11" spans="1:18">
      <c r="A11" s="118">
        <v>7</v>
      </c>
      <c r="B11" s="111">
        <f>($O$16*'2- Key Assumptions'!$C$66*LIFETIME_MILES/LIFETIME_YEARS)/(1+DISCOUNT_RATE)^A11</f>
        <v>8.3983883655988336</v>
      </c>
      <c r="C11" s="111">
        <f>($O$17*'2- Key Assumptions'!$C$67*LIFETIME_MILES/LIFETIME_YEARS)/(1+DISCOUNT_RATE)^A11</f>
        <v>29.388986382825806</v>
      </c>
      <c r="D11" s="111">
        <f>($O$18*'2- Key Assumptions'!$C$68*LIFETIME_MILES/LIFETIME_YEARS)/(1+DISCOUNT_RATE)^A11</f>
        <v>2.2579532407754539</v>
      </c>
      <c r="E11" s="111">
        <f>($O$19*'2- Key Assumptions'!$C$69*'2- Key Assumptions'!$C$3/'2- Key Assumptions'!$C$4)/(1+'2- Key Assumptions'!$C$5)^A11</f>
        <v>3.1633327644196774</v>
      </c>
      <c r="F11" s="111">
        <f>($O$20*'2- Key Assumptions'!$C$70*'2- Key Assumptions'!$C$3/'2- Key Assumptions'!$C$4)/(1+'2- Key Assumptions'!$C$5)^A11</f>
        <v>10.663356737525525</v>
      </c>
      <c r="G11" s="111">
        <f>($O$21*'2- Key Assumptions'!$C$71*'2- Key Assumptions'!$C$3/'2- Key Assumptions'!$C$4)/(1+'2- Key Assumptions'!$C$5)^A11</f>
        <v>0.29377711577273113</v>
      </c>
      <c r="H11" s="110"/>
      <c r="I11" s="204">
        <f>($O$15*'2- Key Assumptions'!$C$39*'2- Key Assumptions'!$C$3/'2- Key Assumptions'!$C$4)/(1+'2- Key Assumptions'!$C$5)^A11</f>
        <v>61.318952528077475</v>
      </c>
      <c r="K11" s="95" t="s">
        <v>31</v>
      </c>
      <c r="L11" s="96">
        <v>18.613347308758229</v>
      </c>
      <c r="M11" s="97">
        <v>6.8242751406153452</v>
      </c>
      <c r="N11" s="291">
        <v>0</v>
      </c>
      <c r="O11" s="259"/>
    </row>
    <row r="12" spans="1:18">
      <c r="A12" s="118">
        <v>8</v>
      </c>
      <c r="B12" s="111">
        <f>($O$16*'2- Key Assumptions'!$C$66*LIFETIME_MILES/LIFETIME_YEARS)/(1+DISCOUNT_RATE)^A12</f>
        <v>8.0753734284604164</v>
      </c>
      <c r="C12" s="111">
        <f>($O$17*'2- Key Assumptions'!$C$67*LIFETIME_MILES/LIFETIME_YEARS)/(1+DISCOUNT_RATE)^A12</f>
        <v>28.258640752717117</v>
      </c>
      <c r="D12" s="111">
        <f>($O$18*'2- Key Assumptions'!$C$68*LIFETIME_MILES/LIFETIME_YEARS)/(1+DISCOUNT_RATE)^A12</f>
        <v>2.1711088853610128</v>
      </c>
      <c r="E12" s="111">
        <f>($O$19*'2- Key Assumptions'!$C$69*'2- Key Assumptions'!$C$3/'2- Key Assumptions'!$C$4)/(1+'2- Key Assumptions'!$C$5)^A12</f>
        <v>3.0416661196343049</v>
      </c>
      <c r="F12" s="111">
        <f>($O$20*'2- Key Assumptions'!$C$70*'2- Key Assumptions'!$C$3/'2- Key Assumptions'!$C$4)/(1+'2- Key Assumptions'!$C$5)^A12</f>
        <v>10.253227632236079</v>
      </c>
      <c r="G12" s="111">
        <f>($O$21*'2- Key Assumptions'!$C$71*'2- Key Assumptions'!$C$3/'2- Key Assumptions'!$C$4)/(1+'2- Key Assumptions'!$C$5)^A12</f>
        <v>0.28247799593531836</v>
      </c>
      <c r="H12" s="110"/>
      <c r="I12" s="204">
        <f>($O$15*'2- Key Assumptions'!$C$39*'2- Key Assumptions'!$C$3/'2- Key Assumptions'!$C$4)/(1+'2- Key Assumptions'!$C$5)^A12</f>
        <v>58.960531276997564</v>
      </c>
      <c r="K12" s="98" t="s">
        <v>78</v>
      </c>
      <c r="L12" s="99">
        <v>25.258252886748014</v>
      </c>
      <c r="M12" s="100">
        <v>24.790452033854343</v>
      </c>
      <c r="N12" s="292">
        <v>267.88799533320429</v>
      </c>
      <c r="O12" s="259"/>
    </row>
    <row r="13" spans="1:18">
      <c r="A13" s="118">
        <v>9</v>
      </c>
      <c r="B13" s="111">
        <f>($O$16*'2- Key Assumptions'!$C$66*LIFETIME_MILES/LIFETIME_YEARS)/(1+DISCOUNT_RATE)^A13</f>
        <v>7.7647821427503994</v>
      </c>
      <c r="C13" s="111">
        <f>($O$17*'2- Key Assumptions'!$C$67*LIFETIME_MILES/LIFETIME_YEARS)/(1+DISCOUNT_RATE)^A13</f>
        <v>27.171769954535687</v>
      </c>
      <c r="D13" s="111">
        <f>($O$18*'2- Key Assumptions'!$C$68*LIFETIME_MILES/LIFETIME_YEARS)/(1+DISCOUNT_RATE)^A13</f>
        <v>2.0876046974625124</v>
      </c>
      <c r="E13" s="111">
        <f>($O$19*'2- Key Assumptions'!$C$69*'2- Key Assumptions'!$C$3/'2- Key Assumptions'!$C$4)/(1+'2- Key Assumptions'!$C$5)^A13</f>
        <v>2.9246789611868311</v>
      </c>
      <c r="F13" s="111">
        <f>($O$20*'2- Key Assumptions'!$C$70*'2- Key Assumptions'!$C$3/'2- Key Assumptions'!$C$4)/(1+'2- Key Assumptions'!$C$5)^A13</f>
        <v>9.8588727233039215</v>
      </c>
      <c r="G13" s="111">
        <f>($O$21*'2- Key Assumptions'!$C$71*'2- Key Assumptions'!$C$3/'2- Key Assumptions'!$C$4)/(1+'2- Key Assumptions'!$C$5)^A13</f>
        <v>0.2716134576301138</v>
      </c>
      <c r="H13" s="110"/>
      <c r="I13" s="204">
        <f>($O$15*'2- Key Assumptions'!$C$39*'2- Key Assumptions'!$C$3/'2- Key Assumptions'!$C$4)/(1+'2- Key Assumptions'!$C$5)^A13</f>
        <v>56.692818535574574</v>
      </c>
      <c r="K13" s="98" t="s">
        <v>33</v>
      </c>
      <c r="L13" s="101">
        <v>2.7201955524813122</v>
      </c>
      <c r="M13" s="102">
        <v>6.1250151853736584E-2</v>
      </c>
      <c r="N13" s="290">
        <v>0.10599999688565731</v>
      </c>
      <c r="O13" s="259"/>
    </row>
    <row r="14" spans="1:18">
      <c r="A14" s="118">
        <v>10</v>
      </c>
      <c r="B14" s="111">
        <f>($O$16*'2- Key Assumptions'!$C$66*LIFETIME_MILES/LIFETIME_YEARS)/(1+DISCOUNT_RATE)^A14</f>
        <v>7.4661366757215371</v>
      </c>
      <c r="C14" s="111">
        <f>($O$17*'2- Key Assumptions'!$C$67*LIFETIME_MILES/LIFETIME_YEARS)/(1+DISCOUNT_RATE)^A14</f>
        <v>26.126701879361235</v>
      </c>
      <c r="D14" s="111">
        <f>($O$18*'2- Key Assumptions'!$C$68*LIFETIME_MILES/LIFETIME_YEARS)/(1+DISCOUNT_RATE)^A14</f>
        <v>2.0073122090985693</v>
      </c>
      <c r="E14" s="111">
        <f>($O$19*'2- Key Assumptions'!$C$69*'2- Key Assumptions'!$C$3/'2- Key Assumptions'!$C$4)/(1+'2- Key Assumptions'!$C$5)^A14</f>
        <v>2.8121913088334916</v>
      </c>
      <c r="F14" s="111">
        <f>($O$20*'2- Key Assumptions'!$C$70*'2- Key Assumptions'!$C$3/'2- Key Assumptions'!$C$4)/(1+'2- Key Assumptions'!$C$5)^A14</f>
        <v>9.4796853108691561</v>
      </c>
      <c r="G14" s="111">
        <f>($O$21*'2- Key Assumptions'!$C$71*'2- Key Assumptions'!$C$3/'2- Key Assumptions'!$C$4)/(1+'2- Key Assumptions'!$C$5)^A14</f>
        <v>0.2611667861828017</v>
      </c>
      <c r="H14" s="110"/>
      <c r="I14" s="204">
        <f>($O$15*'2- Key Assumptions'!$C$39*'2- Key Assumptions'!$C$3/'2- Key Assumptions'!$C$4)/(1+'2- Key Assumptions'!$C$5)^A14</f>
        <v>54.512325514975551</v>
      </c>
      <c r="K14" s="95" t="s">
        <v>34</v>
      </c>
      <c r="L14" s="103">
        <v>4.5375721540342567E-4</v>
      </c>
      <c r="M14" s="104">
        <v>3.3656703962601961E-4</v>
      </c>
      <c r="N14" s="289">
        <v>1.2000000104308128E-2</v>
      </c>
      <c r="O14" s="259"/>
    </row>
    <row r="15" spans="1:18">
      <c r="A15" s="118">
        <v>11</v>
      </c>
      <c r="B15" s="111">
        <f>($O$16*'2- Key Assumptions'!$C$66*LIFETIME_MILES/LIFETIME_YEARS)/(1+DISCOUNT_RATE)^A15</f>
        <v>7.1789775728091714</v>
      </c>
      <c r="C15" s="111">
        <f>($O$17*'2- Key Assumptions'!$C$67*LIFETIME_MILES/LIFETIME_YEARS)/(1+DISCOUNT_RATE)^A15</f>
        <v>25.121828730155038</v>
      </c>
      <c r="D15" s="111">
        <f>($O$18*'2- Key Assumptions'!$C$68*LIFETIME_MILES/LIFETIME_YEARS)/(1+DISCOUNT_RATE)^A15</f>
        <v>1.9301078933640092</v>
      </c>
      <c r="E15" s="111">
        <f>($O$19*'2- Key Assumptions'!$C$69*'2- Key Assumptions'!$C$3/'2- Key Assumptions'!$C$4)/(1+'2- Key Assumptions'!$C$5)^A15</f>
        <v>2.7040301046475883</v>
      </c>
      <c r="F15" s="111">
        <f>($O$20*'2- Key Assumptions'!$C$70*'2- Key Assumptions'!$C$3/'2- Key Assumptions'!$C$4)/(1+'2- Key Assumptions'!$C$5)^A15</f>
        <v>9.1150820296818811</v>
      </c>
      <c r="G15" s="111">
        <f>($O$21*'2- Key Assumptions'!$C$71*'2- Key Assumptions'!$C$3/'2- Key Assumptions'!$C$4)/(1+'2- Key Assumptions'!$C$5)^A15</f>
        <v>0.25112190979115551</v>
      </c>
      <c r="H15" s="117"/>
      <c r="I15" s="204">
        <f>($O$15*'2- Key Assumptions'!$C$39*'2- Key Assumptions'!$C$3/'2- Key Assumptions'!$C$4)/(1+'2- Key Assumptions'!$C$5)^A15</f>
        <v>52.415697610553423</v>
      </c>
      <c r="K15" s="95" t="s">
        <v>35</v>
      </c>
      <c r="L15" s="96">
        <v>93.398361348971036</v>
      </c>
      <c r="M15" s="97">
        <v>26.422002808006312</v>
      </c>
      <c r="N15" s="291">
        <v>274.11399528642954</v>
      </c>
      <c r="O15" s="484">
        <f t="shared" ref="O15:O21" si="0">N15/1000000</f>
        <v>2.7411399528642954E-4</v>
      </c>
    </row>
    <row r="16" spans="1:18" ht="15.75" thickBot="1">
      <c r="A16" s="118">
        <v>12</v>
      </c>
      <c r="B16" s="111">
        <f>($O$16*'2- Key Assumptions'!$C$66*LIFETIME_MILES/LIFETIME_YEARS)/(1+DISCOUNT_RATE)^A16</f>
        <v>6.9028630507780475</v>
      </c>
      <c r="C16" s="111">
        <f>($O$17*'2- Key Assumptions'!$C$67*LIFETIME_MILES/LIFETIME_YEARS)/(1+DISCOUNT_RATE)^A16</f>
        <v>24.155604548225991</v>
      </c>
      <c r="D16" s="111">
        <f>($O$18*'2- Key Assumptions'!$C$68*LIFETIME_MILES/LIFETIME_YEARS)/(1+DISCOUNT_RATE)^A16</f>
        <v>1.8558729743884701</v>
      </c>
      <c r="E16" s="111">
        <f>($O$19*'2- Key Assumptions'!$C$69*'2- Key Assumptions'!$C$3/'2- Key Assumptions'!$C$4)/(1+'2- Key Assumptions'!$C$5)^A16</f>
        <v>2.6000289467765265</v>
      </c>
      <c r="F16" s="111">
        <f>($O$20*'2- Key Assumptions'!$C$70*'2- Key Assumptions'!$C$3/'2- Key Assumptions'!$C$4)/(1+'2- Key Assumptions'!$C$5)^A16</f>
        <v>8.7645019516171914</v>
      </c>
      <c r="G16" s="111">
        <f>($O$21*'2- Key Assumptions'!$C$71*'2- Key Assumptions'!$C$3/'2- Key Assumptions'!$C$4)/(1+'2- Key Assumptions'!$C$5)^A16</f>
        <v>0.24146337479918795</v>
      </c>
      <c r="H16" s="117"/>
      <c r="I16" s="204">
        <f>($O$15*'2- Key Assumptions'!$C$39*'2- Key Assumptions'!$C$3/'2- Key Assumptions'!$C$4)/(1+'2- Key Assumptions'!$C$5)^A16</f>
        <v>50.399709240916742</v>
      </c>
      <c r="K16" s="98" t="s">
        <v>36</v>
      </c>
      <c r="L16" s="101">
        <v>2.7236969639915291E-2</v>
      </c>
      <c r="M16" s="102">
        <v>2.1533964798295842E-3</v>
      </c>
      <c r="N16" s="290">
        <v>0.12349999882280827</v>
      </c>
      <c r="O16" s="485">
        <f t="shared" si="0"/>
        <v>1.2349999882280826E-7</v>
      </c>
    </row>
    <row r="17" spans="1:16" ht="15.75" thickBot="1">
      <c r="A17" s="503" t="s">
        <v>88</v>
      </c>
      <c r="B17" s="504">
        <f>SUM(B5:B16)</f>
        <v>103.72107734695005</v>
      </c>
      <c r="C17" s="504">
        <f>SUM(C5:C16)</f>
        <v>362.95741481159581</v>
      </c>
      <c r="D17" s="504">
        <f t="shared" ref="D17:I17" si="1">SUM(D5:D16)</f>
        <v>27.885986279412577</v>
      </c>
      <c r="E17" s="504">
        <f t="shared" si="1"/>
        <v>39.067529155532164</v>
      </c>
      <c r="F17" s="504">
        <f t="shared" si="1"/>
        <v>131.69370131553126</v>
      </c>
      <c r="G17" s="504">
        <f t="shared" si="1"/>
        <v>3.6281816964598854</v>
      </c>
      <c r="H17" s="504"/>
      <c r="I17" s="505">
        <f t="shared" si="1"/>
        <v>757.29622650585611</v>
      </c>
      <c r="K17" s="98" t="s">
        <v>37</v>
      </c>
      <c r="L17" s="101">
        <v>3.7654082053395987E-2</v>
      </c>
      <c r="M17" s="102">
        <v>6.5320721687808668E-3</v>
      </c>
      <c r="N17" s="290">
        <v>3.4920001029968262</v>
      </c>
      <c r="O17" s="485">
        <f t="shared" si="0"/>
        <v>3.492000102996826E-6</v>
      </c>
    </row>
    <row r="18" spans="1:16">
      <c r="K18" s="95" t="s">
        <v>38</v>
      </c>
      <c r="L18" s="103">
        <v>9.9386615084710014E-2</v>
      </c>
      <c r="M18" s="104">
        <v>2.225705828241557E-2</v>
      </c>
      <c r="N18" s="289">
        <v>6.8999998271465302E-2</v>
      </c>
      <c r="O18" s="485">
        <f t="shared" si="0"/>
        <v>6.89999982714653E-8</v>
      </c>
    </row>
    <row r="19" spans="1:16">
      <c r="K19" s="95" t="s">
        <v>39</v>
      </c>
      <c r="L19" s="103">
        <v>3.9757609999766224E-3</v>
      </c>
      <c r="M19" s="104">
        <v>3.2603715137220615E-2</v>
      </c>
      <c r="N19" s="289">
        <v>2.8600000776350498E-2</v>
      </c>
      <c r="O19" s="485">
        <f t="shared" si="0"/>
        <v>2.8600000776350498E-8</v>
      </c>
      <c r="P19" s="8"/>
    </row>
    <row r="20" spans="1:16">
      <c r="E20" s="109"/>
      <c r="K20" s="98" t="s">
        <v>40</v>
      </c>
      <c r="L20" s="101">
        <v>2.4324082339219847E-3</v>
      </c>
      <c r="M20" s="102">
        <v>8.5861828962081818E-3</v>
      </c>
      <c r="N20" s="290">
        <v>1.4800000004470348E-2</v>
      </c>
      <c r="O20" s="485">
        <f t="shared" si="0"/>
        <v>1.4800000004470349E-8</v>
      </c>
      <c r="P20" s="8"/>
    </row>
    <row r="21" spans="1:16">
      <c r="I21" s="109"/>
      <c r="K21" s="98" t="s">
        <v>41</v>
      </c>
      <c r="L21" s="101">
        <v>5.1848839376304579E-2</v>
      </c>
      <c r="M21" s="102">
        <v>4.4685544804687317E-2</v>
      </c>
      <c r="N21" s="290">
        <v>1.2122629120651725E-3</v>
      </c>
      <c r="O21" s="485">
        <f t="shared" si="0"/>
        <v>1.2122629120651725E-9</v>
      </c>
      <c r="P21" s="8"/>
    </row>
    <row r="22" spans="1:16">
      <c r="K22" s="95" t="s">
        <v>42</v>
      </c>
      <c r="L22" s="103">
        <v>7.1205887374103645E-4</v>
      </c>
      <c r="M22" s="104">
        <v>1.4079175222433564E-4</v>
      </c>
      <c r="N22" s="289">
        <v>7.6816999267786734E-2</v>
      </c>
      <c r="O22" s="485"/>
      <c r="P22" s="8"/>
    </row>
    <row r="23" spans="1:16">
      <c r="K23" s="95" t="s">
        <v>43</v>
      </c>
      <c r="L23" s="103">
        <v>1.3687013094479256E-3</v>
      </c>
      <c r="M23" s="104">
        <v>1.4061014899806323E-3</v>
      </c>
      <c r="N23" s="289">
        <v>2.172024064064026</v>
      </c>
      <c r="O23" s="485"/>
      <c r="P23" s="8"/>
    </row>
    <row r="24" spans="1:16">
      <c r="K24" s="98" t="s">
        <v>44</v>
      </c>
      <c r="L24" s="101">
        <v>3.6001558286025796E-3</v>
      </c>
      <c r="M24" s="102">
        <v>3.9085101428871167E-3</v>
      </c>
      <c r="N24" s="290">
        <v>4.2917998924851417E-2</v>
      </c>
      <c r="O24" s="485"/>
      <c r="P24" s="8"/>
    </row>
    <row r="25" spans="1:16">
      <c r="K25" s="98" t="s">
        <v>45</v>
      </c>
      <c r="L25" s="101">
        <v>1.0763800050457082E-4</v>
      </c>
      <c r="M25" s="102">
        <v>2.8056665323776254E-4</v>
      </c>
      <c r="N25" s="290">
        <v>1.7789200482890011E-2</v>
      </c>
      <c r="O25" s="485"/>
      <c r="P25" s="8"/>
    </row>
    <row r="26" spans="1:16">
      <c r="K26" s="95" t="s">
        <v>46</v>
      </c>
      <c r="L26" s="103">
        <v>9.1530930074616566E-5</v>
      </c>
      <c r="M26" s="104">
        <v>1.7257372502469932E-4</v>
      </c>
      <c r="N26" s="289">
        <v>9.2056000027805566E-3</v>
      </c>
      <c r="O26" s="485"/>
      <c r="P26" s="8"/>
    </row>
    <row r="27" spans="1:16" ht="15.75" thickBot="1">
      <c r="K27" s="105" t="s">
        <v>47</v>
      </c>
      <c r="L27" s="106">
        <v>9.9927716411967577E-4</v>
      </c>
      <c r="M27" s="107">
        <v>7.3477539415582804E-3</v>
      </c>
      <c r="N27" s="108">
        <v>7.5402753130453725E-4</v>
      </c>
      <c r="O27" s="486"/>
      <c r="P27" s="8"/>
    </row>
    <row r="31" spans="1:16" ht="16.5" customHeight="1"/>
    <row r="41" spans="16:17">
      <c r="P41" s="84"/>
      <c r="Q41" s="84"/>
    </row>
    <row r="42" spans="16:17">
      <c r="P42" s="82"/>
    </row>
    <row r="48" spans="16:17">
      <c r="P48" s="82"/>
    </row>
    <row r="49" spans="16:16">
      <c r="P49" s="82"/>
    </row>
  </sheetData>
  <pageMargins left="0.7" right="0.7" top="0.75" bottom="0.75" header="0.3" footer="0.3"/>
  <pageSetup orientation="portrait" horizontalDpi="4294967292" verticalDpi="4294967292"/>
</worksheet>
</file>

<file path=xl/worksheets/sheet16.xml><?xml version="1.0" encoding="utf-8"?>
<worksheet xmlns="http://schemas.openxmlformats.org/spreadsheetml/2006/main" xmlns:r="http://schemas.openxmlformats.org/officeDocument/2006/relationships">
  <sheetPr>
    <tabColor rgb="FFC00000"/>
  </sheetPr>
  <dimension ref="A1:R49"/>
  <sheetViews>
    <sheetView workbookViewId="0">
      <selection activeCell="A17" sqref="A17:I17"/>
    </sheetView>
  </sheetViews>
  <sheetFormatPr defaultColWidth="8.85546875" defaultRowHeight="15"/>
  <cols>
    <col min="3" max="3" width="11.42578125" bestFit="1" customWidth="1"/>
    <col min="9" max="9" width="8.42578125" customWidth="1"/>
    <col min="15" max="15" width="14.140625" customWidth="1"/>
    <col min="16" max="16" width="14.85546875" customWidth="1"/>
    <col min="17" max="17" width="13.28515625" bestFit="1" customWidth="1"/>
  </cols>
  <sheetData>
    <row r="1" spans="1:18">
      <c r="A1" s="3" t="s">
        <v>95</v>
      </c>
    </row>
    <row r="2" spans="1:18" ht="15.75" thickBot="1"/>
    <row r="3" spans="1:18">
      <c r="A3" s="201"/>
      <c r="B3" s="210" t="s">
        <v>14</v>
      </c>
      <c r="C3" s="202" t="s">
        <v>19</v>
      </c>
      <c r="D3" s="202" t="s">
        <v>2220</v>
      </c>
      <c r="E3" s="202" t="s">
        <v>18</v>
      </c>
      <c r="F3" s="202" t="s">
        <v>16</v>
      </c>
      <c r="G3" s="202" t="s">
        <v>2221</v>
      </c>
      <c r="H3" s="202"/>
      <c r="I3" s="203"/>
    </row>
    <row r="4" spans="1:18" ht="15.75" customHeight="1" thickBot="1">
      <c r="A4" s="114" t="s">
        <v>25</v>
      </c>
      <c r="B4" s="115"/>
      <c r="C4" s="115"/>
      <c r="D4" s="115"/>
      <c r="E4" s="115"/>
      <c r="F4" s="115"/>
      <c r="G4" s="115"/>
      <c r="H4" s="115"/>
      <c r="I4" s="116"/>
      <c r="K4" s="86" t="s">
        <v>83</v>
      </c>
      <c r="L4" s="87"/>
      <c r="M4" s="87"/>
      <c r="N4" s="87"/>
    </row>
    <row r="5" spans="1:18" ht="15.75" customHeight="1" thickBot="1">
      <c r="A5" s="118">
        <v>1</v>
      </c>
      <c r="B5" s="111">
        <f>($O$16*'2- Key Assumptions'!$C$66*LIFETIME_MILES/LIFETIME_YEARS)/(1+DISCOUNT_RATE)^A5</f>
        <v>0</v>
      </c>
      <c r="C5" s="111">
        <f>($O$17*'2- Key Assumptions'!$C$67*LIFETIME_MILES/LIFETIME_YEARS)/(1+DISCOUNT_RATE)^A5</f>
        <v>0</v>
      </c>
      <c r="D5" s="111">
        <f>($O$18*'2- Key Assumptions'!$C$68*LIFETIME_MILES/LIFETIME_YEARS)/(1+DISCOUNT_RATE)^A5</f>
        <v>0</v>
      </c>
      <c r="E5" s="111">
        <f>($O$19*'2- Key Assumptions'!$C$69*LIFETIME_MILES/LIFETIME_YEARS)/(1+DISCOUNT_RATE)^A5</f>
        <v>2.8690145023238771</v>
      </c>
      <c r="F5" s="111">
        <f>($O$20*'2- Key Assumptions'!$C$70*LIFETIME_MILES/LIFETIME_YEARS)/(1+DISCOUNT_RATE)^A5</f>
        <v>6.6551083299810463</v>
      </c>
      <c r="G5" s="111">
        <f>($O$21*'2- Key Assumptions'!$C$71*LIFETIME_MILES/LIFETIME_YEARS)/(1+DISCOUNT_RATE)^A5</f>
        <v>0</v>
      </c>
      <c r="H5" s="110"/>
      <c r="I5" s="204">
        <f>($O$15*SCC*LIFETIME_MILES/LIFETIME_YEARS)/(1+'2- Key Assumptions'!$C$5)^A5</f>
        <v>0</v>
      </c>
      <c r="K5" s="293"/>
      <c r="L5" s="88" t="s">
        <v>21</v>
      </c>
      <c r="M5" s="89"/>
      <c r="N5" s="90"/>
      <c r="O5" s="490" t="s">
        <v>2522</v>
      </c>
    </row>
    <row r="6" spans="1:18" ht="16.5" customHeight="1">
      <c r="A6" s="118">
        <v>2</v>
      </c>
      <c r="B6" s="111">
        <f>($O$16*'2- Key Assumptions'!$C$66*'2- Key Assumptions'!$C$3/'2- Key Assumptions'!$C$4)/(1+'2- Key Assumptions'!$C$5)^A6</f>
        <v>0</v>
      </c>
      <c r="C6" s="111">
        <f>($O$17*'2- Key Assumptions'!$C$67*'2- Key Assumptions'!$C$3/'2- Key Assumptions'!$C$4)/(1+'2- Key Assumptions'!$C$5)^A6</f>
        <v>0</v>
      </c>
      <c r="D6" s="111">
        <f>($O$18*'2- Key Assumptions'!$C$68*'2- Key Assumptions'!$C$3/'2- Key Assumptions'!$C$4)/(1+'2- Key Assumptions'!$C$5)^A6</f>
        <v>0</v>
      </c>
      <c r="E6" s="111">
        <f>($O$19*'2- Key Assumptions'!$C$69*'2- Key Assumptions'!$C$3/'2- Key Assumptions'!$C$4)/(1+'2- Key Assumptions'!$C$5)^A6</f>
        <v>2.7586677906960353</v>
      </c>
      <c r="F6" s="111">
        <f>($O$20*'2- Key Assumptions'!$C$70*'2- Key Assumptions'!$C$3/'2- Key Assumptions'!$C$4)/(1+'2- Key Assumptions'!$C$5)^A6</f>
        <v>6.3991426249817742</v>
      </c>
      <c r="G6" s="111">
        <f>($O$21*'2- Key Assumptions'!$C$71*'2- Key Assumptions'!$C$3/'2- Key Assumptions'!$C$4)/(1+'2- Key Assumptions'!$C$5)^A6</f>
        <v>0</v>
      </c>
      <c r="H6" s="110"/>
      <c r="I6" s="204">
        <f>($O$15*'2- Key Assumptions'!$C$39*'2- Key Assumptions'!$C$3/'2- Key Assumptions'!$C$4)/(1+'2- Key Assumptions'!$C$5)^A6</f>
        <v>0</v>
      </c>
      <c r="K6" s="91" t="s">
        <v>22</v>
      </c>
      <c r="L6" s="92" t="s">
        <v>23</v>
      </c>
      <c r="M6" s="93" t="s">
        <v>24</v>
      </c>
      <c r="N6" s="94" t="s">
        <v>25</v>
      </c>
      <c r="O6" s="483" t="s">
        <v>25</v>
      </c>
    </row>
    <row r="7" spans="1:18">
      <c r="A7" s="118">
        <v>3</v>
      </c>
      <c r="B7" s="111">
        <f>($O$16*'2- Key Assumptions'!$C$66*'2- Key Assumptions'!$C$3/'2- Key Assumptions'!$C$4)/(1+'2- Key Assumptions'!$C$5)^A7</f>
        <v>0</v>
      </c>
      <c r="C7" s="111">
        <f>($O$17*'2- Key Assumptions'!$C$67*'2- Key Assumptions'!$C$3/'2- Key Assumptions'!$C$4)/(1+'2- Key Assumptions'!$C$5)^A7</f>
        <v>0</v>
      </c>
      <c r="D7" s="111">
        <f>($O$18*'2- Key Assumptions'!$C$68*'2- Key Assumptions'!$C$3/'2- Key Assumptions'!$C$4)/(1+'2- Key Assumptions'!$C$5)^A7</f>
        <v>0</v>
      </c>
      <c r="E7" s="111">
        <f>($O$19*'2- Key Assumptions'!$C$69*'2- Key Assumptions'!$C$3/'2- Key Assumptions'!$C$4)/(1+'2- Key Assumptions'!$C$5)^A7</f>
        <v>2.6525651833615727</v>
      </c>
      <c r="F7" s="111">
        <f>($O$20*'2- Key Assumptions'!$C$70*'2- Key Assumptions'!$C$3/'2- Key Assumptions'!$C$4)/(1+'2- Key Assumptions'!$C$5)^A7</f>
        <v>6.153021754790168</v>
      </c>
      <c r="G7" s="111">
        <f>($O$21*'2- Key Assumptions'!$C$71*'2- Key Assumptions'!$C$3/'2- Key Assumptions'!$C$4)/(1+'2- Key Assumptions'!$C$5)^A7</f>
        <v>0</v>
      </c>
      <c r="H7" s="110"/>
      <c r="I7" s="204">
        <f>($O$15*'2- Key Assumptions'!$C$39*'2- Key Assumptions'!$C$3/'2- Key Assumptions'!$C$4)/(1+'2- Key Assumptions'!$C$5)^A7</f>
        <v>0</v>
      </c>
      <c r="K7" s="95" t="s">
        <v>27</v>
      </c>
      <c r="L7" s="96">
        <v>203.75129973937828</v>
      </c>
      <c r="M7" s="97">
        <v>1275.5794363830491</v>
      </c>
      <c r="N7" s="291">
        <v>1964.4751911751298</v>
      </c>
      <c r="O7" s="259"/>
    </row>
    <row r="8" spans="1:18">
      <c r="A8" s="118">
        <v>4</v>
      </c>
      <c r="B8" s="111">
        <f>($O$16*'2- Key Assumptions'!$C$66*'2- Key Assumptions'!$C$3/'2- Key Assumptions'!$C$4)/(1+'2- Key Assumptions'!$C$5)^A8</f>
        <v>0</v>
      </c>
      <c r="C8" s="111">
        <f>($O$17*'2- Key Assumptions'!$C$67*'2- Key Assumptions'!$C$3/'2- Key Assumptions'!$C$4)/(1+'2- Key Assumptions'!$C$5)^A8</f>
        <v>0</v>
      </c>
      <c r="D8" s="111">
        <f>($O$18*'2- Key Assumptions'!$C$68*'2- Key Assumptions'!$C$3/'2- Key Assumptions'!$C$4)/(1+'2- Key Assumptions'!$C$5)^A8</f>
        <v>0</v>
      </c>
      <c r="E8" s="111">
        <f>($O$19*'2- Key Assumptions'!$C$69*'2- Key Assumptions'!$C$3/'2- Key Assumptions'!$C$4)/(1+'2- Key Assumptions'!$C$5)^A8</f>
        <v>2.5505434455399731</v>
      </c>
      <c r="F8" s="111">
        <f>($O$20*'2- Key Assumptions'!$C$70*'2- Key Assumptions'!$C$3/'2- Key Assumptions'!$C$4)/(1+'2- Key Assumptions'!$C$5)^A8</f>
        <v>5.9163670719136228</v>
      </c>
      <c r="G8" s="111">
        <f>($O$21*'2- Key Assumptions'!$C$71*'2- Key Assumptions'!$C$3/'2- Key Assumptions'!$C$4)/(1+'2- Key Assumptions'!$C$5)^A8</f>
        <v>0</v>
      </c>
      <c r="H8" s="110"/>
      <c r="I8" s="204">
        <f>($O$15*'2- Key Assumptions'!$C$39*'2- Key Assumptions'!$C$3/'2- Key Assumptions'!$C$4)/(1+'2- Key Assumptions'!$C$5)^A8</f>
        <v>0</v>
      </c>
      <c r="K8" s="98" t="s">
        <v>28</v>
      </c>
      <c r="L8" s="99">
        <v>202.54153444056365</v>
      </c>
      <c r="M8" s="100">
        <v>1212.2571724279844</v>
      </c>
      <c r="N8" s="292">
        <v>1964.4751911751298</v>
      </c>
      <c r="O8" s="259"/>
    </row>
    <row r="9" spans="1:18">
      <c r="A9" s="118">
        <v>5</v>
      </c>
      <c r="B9" s="111">
        <f>($O$16*'2- Key Assumptions'!$C$66*'2- Key Assumptions'!$C$3/'2- Key Assumptions'!$C$4)/(1+'2- Key Assumptions'!$C$5)^A9</f>
        <v>0</v>
      </c>
      <c r="C9" s="111">
        <f>($O$17*'2- Key Assumptions'!$C$67*'2- Key Assumptions'!$C$3/'2- Key Assumptions'!$C$4)/(1+'2- Key Assumptions'!$C$5)^A9</f>
        <v>0</v>
      </c>
      <c r="D9" s="111">
        <f>($O$18*'2- Key Assumptions'!$C$68*'2- Key Assumptions'!$C$3/'2- Key Assumptions'!$C$4)/(1+'2- Key Assumptions'!$C$5)^A9</f>
        <v>0</v>
      </c>
      <c r="E9" s="111">
        <f>($O$19*'2- Key Assumptions'!$C$69*'2- Key Assumptions'!$C$3/'2- Key Assumptions'!$C$4)/(1+'2- Key Assumptions'!$C$5)^A9</f>
        <v>2.4524456207115124</v>
      </c>
      <c r="F9" s="111">
        <f>($O$20*'2- Key Assumptions'!$C$70*'2- Key Assumptions'!$C$3/'2- Key Assumptions'!$C$4)/(1+'2- Key Assumptions'!$C$5)^A9</f>
        <v>5.688814492224636</v>
      </c>
      <c r="G9" s="111">
        <f>($O$21*'2- Key Assumptions'!$C$71*'2- Key Assumptions'!$C$3/'2- Key Assumptions'!$C$4)/(1+'2- Key Assumptions'!$C$5)^A9</f>
        <v>0</v>
      </c>
      <c r="H9" s="110"/>
      <c r="I9" s="204">
        <f>($O$15*'2- Key Assumptions'!$C$39*'2- Key Assumptions'!$C$3/'2- Key Assumptions'!$C$4)/(1+'2- Key Assumptions'!$C$5)^A9</f>
        <v>0</v>
      </c>
      <c r="K9" s="98" t="s">
        <v>29</v>
      </c>
      <c r="L9" s="99">
        <v>4.5487351213303322</v>
      </c>
      <c r="M9" s="100">
        <v>238.08151436599439</v>
      </c>
      <c r="N9" s="292">
        <v>0</v>
      </c>
      <c r="O9" s="259"/>
      <c r="R9" s="3"/>
    </row>
    <row r="10" spans="1:18">
      <c r="A10" s="118">
        <v>6</v>
      </c>
      <c r="B10" s="111">
        <f>($O$16*'2- Key Assumptions'!$C$66*'2- Key Assumptions'!$C$3/'2- Key Assumptions'!$C$4)/(1+'2- Key Assumptions'!$C$5)^A10</f>
        <v>0</v>
      </c>
      <c r="C10" s="111">
        <f>($O$17*'2- Key Assumptions'!$C$67*'2- Key Assumptions'!$C$3/'2- Key Assumptions'!$C$4)/(1+'2- Key Assumptions'!$C$5)^A10</f>
        <v>0</v>
      </c>
      <c r="D10" s="111">
        <f>($O$18*'2- Key Assumptions'!$C$68*'2- Key Assumptions'!$C$3/'2- Key Assumptions'!$C$4)/(1+'2- Key Assumptions'!$C$5)^A10</f>
        <v>0</v>
      </c>
      <c r="E10" s="111">
        <f>($O$19*'2- Key Assumptions'!$C$69*'2- Key Assumptions'!$C$3/'2- Key Assumptions'!$C$4)/(1+'2- Key Assumptions'!$C$5)^A10</f>
        <v>2.3581207891456852</v>
      </c>
      <c r="F10" s="111">
        <f>($O$20*'2- Key Assumptions'!$C$70*'2- Key Assumptions'!$C$3/'2- Key Assumptions'!$C$4)/(1+'2- Key Assumptions'!$C$5)^A10</f>
        <v>5.470013934831381</v>
      </c>
      <c r="G10" s="111">
        <f>($O$21*'2- Key Assumptions'!$C$71*'2- Key Assumptions'!$C$3/'2- Key Assumptions'!$C$4)/(1+'2- Key Assumptions'!$C$5)^A10</f>
        <v>0</v>
      </c>
      <c r="H10" s="110"/>
      <c r="I10" s="204">
        <f>($O$15*'2- Key Assumptions'!$C$39*'2- Key Assumptions'!$C$3/'2- Key Assumptions'!$C$4)/(1+'2- Key Assumptions'!$C$5)^A10</f>
        <v>0</v>
      </c>
      <c r="K10" s="95" t="s">
        <v>30</v>
      </c>
      <c r="L10" s="96">
        <v>189.89206068678547</v>
      </c>
      <c r="M10" s="97">
        <v>961.97631050519976</v>
      </c>
      <c r="N10" s="291">
        <v>1964.4751911751298</v>
      </c>
      <c r="O10" s="259"/>
    </row>
    <row r="11" spans="1:18">
      <c r="A11" s="118">
        <v>7</v>
      </c>
      <c r="B11" s="111">
        <f>($O$16*'2- Key Assumptions'!$C$66*'2- Key Assumptions'!$C$3/'2- Key Assumptions'!$C$4)/(1+'2- Key Assumptions'!$C$5)^A11</f>
        <v>0</v>
      </c>
      <c r="C11" s="111">
        <f>($O$17*'2- Key Assumptions'!$C$67*'2- Key Assumptions'!$C$3/'2- Key Assumptions'!$C$4)/(1+'2- Key Assumptions'!$C$5)^A11</f>
        <v>0</v>
      </c>
      <c r="D11" s="111">
        <f>($O$18*'2- Key Assumptions'!$C$68*'2- Key Assumptions'!$C$3/'2- Key Assumptions'!$C$4)/(1+'2- Key Assumptions'!$C$5)^A11</f>
        <v>0</v>
      </c>
      <c r="E11" s="111">
        <f>($O$19*'2- Key Assumptions'!$C$69*'2- Key Assumptions'!$C$3/'2- Key Assumptions'!$C$4)/(1+'2- Key Assumptions'!$C$5)^A11</f>
        <v>2.2674238357170049</v>
      </c>
      <c r="F11" s="111">
        <f>($O$20*'2- Key Assumptions'!$C$70*'2- Key Assumptions'!$C$3/'2- Key Assumptions'!$C$4)/(1+'2- Key Assumptions'!$C$5)^A11</f>
        <v>5.2596287834917126</v>
      </c>
      <c r="G11" s="111">
        <f>($O$21*'2- Key Assumptions'!$C$71*'2- Key Assumptions'!$C$3/'2- Key Assumptions'!$C$4)/(1+'2- Key Assumptions'!$C$5)^A11</f>
        <v>0</v>
      </c>
      <c r="H11" s="110"/>
      <c r="I11" s="204">
        <f>($O$15*'2- Key Assumptions'!$C$39*'2- Key Assumptions'!$C$3/'2- Key Assumptions'!$C$4)/(1+'2- Key Assumptions'!$C$5)^A11</f>
        <v>0</v>
      </c>
      <c r="K11" s="95" t="s">
        <v>31</v>
      </c>
      <c r="L11" s="96">
        <v>8.1007386324478521</v>
      </c>
      <c r="M11" s="97">
        <v>12.19934755679021</v>
      </c>
      <c r="N11" s="291">
        <v>0</v>
      </c>
      <c r="O11" s="259"/>
    </row>
    <row r="12" spans="1:18">
      <c r="A12" s="118">
        <v>8</v>
      </c>
      <c r="B12" s="111">
        <f>($O$16*'2- Key Assumptions'!$C$66*'2- Key Assumptions'!$C$3/'2- Key Assumptions'!$C$4)/(1+'2- Key Assumptions'!$C$5)^A12</f>
        <v>0</v>
      </c>
      <c r="C12" s="111">
        <f>($O$17*'2- Key Assumptions'!$C$67*'2- Key Assumptions'!$C$3/'2- Key Assumptions'!$C$4)/(1+'2- Key Assumptions'!$C$5)^A12</f>
        <v>0</v>
      </c>
      <c r="D12" s="111">
        <f>($O$18*'2- Key Assumptions'!$C$68*'2- Key Assumptions'!$C$3/'2- Key Assumptions'!$C$4)/(1+'2- Key Assumptions'!$C$5)^A12</f>
        <v>0</v>
      </c>
      <c r="E12" s="111">
        <f>($O$19*'2- Key Assumptions'!$C$69*'2- Key Assumptions'!$C$3/'2- Key Assumptions'!$C$4)/(1+'2- Key Assumptions'!$C$5)^A12</f>
        <v>2.180215226650966</v>
      </c>
      <c r="F12" s="111">
        <f>($O$20*'2- Key Assumptions'!$C$70*'2- Key Assumptions'!$C$3/'2- Key Assumptions'!$C$4)/(1+'2- Key Assumptions'!$C$5)^A12</f>
        <v>5.0573353687420308</v>
      </c>
      <c r="G12" s="111">
        <f>($O$21*'2- Key Assumptions'!$C$71*'2- Key Assumptions'!$C$3/'2- Key Assumptions'!$C$4)/(1+'2- Key Assumptions'!$C$5)^A12</f>
        <v>0</v>
      </c>
      <c r="H12" s="110"/>
      <c r="I12" s="204">
        <f>($O$15*'2- Key Assumptions'!$C$39*'2- Key Assumptions'!$C$3/'2- Key Assumptions'!$C$4)/(1+'2- Key Assumptions'!$C$5)^A12</f>
        <v>0</v>
      </c>
      <c r="K12" s="98" t="s">
        <v>78</v>
      </c>
      <c r="L12" s="99">
        <v>10.993104777218173</v>
      </c>
      <c r="M12" s="100">
        <v>200.13981868930455</v>
      </c>
      <c r="N12" s="292">
        <v>0</v>
      </c>
      <c r="O12" s="259"/>
    </row>
    <row r="13" spans="1:18">
      <c r="A13" s="118">
        <v>9</v>
      </c>
      <c r="B13" s="111">
        <f>($O$16*'2- Key Assumptions'!$C$66*'2- Key Assumptions'!$C$3/'2- Key Assumptions'!$C$4)/(1+'2- Key Assumptions'!$C$5)^A13</f>
        <v>0</v>
      </c>
      <c r="C13" s="111">
        <f>($O$17*'2- Key Assumptions'!$C$67*'2- Key Assumptions'!$C$3/'2- Key Assumptions'!$C$4)/(1+'2- Key Assumptions'!$C$5)^A13</f>
        <v>0</v>
      </c>
      <c r="D13" s="111">
        <f>($O$18*'2- Key Assumptions'!$C$68*'2- Key Assumptions'!$C$3/'2- Key Assumptions'!$C$4)/(1+'2- Key Assumptions'!$C$5)^A13</f>
        <v>0</v>
      </c>
      <c r="E13" s="111">
        <f>($O$19*'2- Key Assumptions'!$C$69*'2- Key Assumptions'!$C$3/'2- Key Assumptions'!$C$4)/(1+'2- Key Assumptions'!$C$5)^A13</f>
        <v>2.096360794856698</v>
      </c>
      <c r="F13" s="111">
        <f>($O$20*'2- Key Assumptions'!$C$70*'2- Key Assumptions'!$C$3/'2- Key Assumptions'!$C$4)/(1+'2- Key Assumptions'!$C$5)^A13</f>
        <v>4.8628224699442599</v>
      </c>
      <c r="G13" s="111">
        <f>($O$21*'2- Key Assumptions'!$C$71*'2- Key Assumptions'!$C$3/'2- Key Assumptions'!$C$4)/(1+'2- Key Assumptions'!$C$5)^A13</f>
        <v>0</v>
      </c>
      <c r="H13" s="110"/>
      <c r="I13" s="204">
        <f>($O$15*'2- Key Assumptions'!$C$39*'2- Key Assumptions'!$C$3/'2- Key Assumptions'!$C$4)/(1+'2- Key Assumptions'!$C$5)^A13</f>
        <v>0</v>
      </c>
      <c r="K13" s="98" t="s">
        <v>33</v>
      </c>
      <c r="L13" s="101">
        <v>1.1838597773023705</v>
      </c>
      <c r="M13" s="102">
        <v>0.55189985071252756</v>
      </c>
      <c r="N13" s="290">
        <v>0</v>
      </c>
      <c r="O13" s="259"/>
    </row>
    <row r="14" spans="1:18">
      <c r="A14" s="118">
        <v>10</v>
      </c>
      <c r="B14" s="111">
        <f>($O$16*'2- Key Assumptions'!$C$66*'2- Key Assumptions'!$C$3/'2- Key Assumptions'!$C$4)/(1+'2- Key Assumptions'!$C$5)^A14</f>
        <v>0</v>
      </c>
      <c r="C14" s="111">
        <f>($O$17*'2- Key Assumptions'!$C$67*'2- Key Assumptions'!$C$3/'2- Key Assumptions'!$C$4)/(1+'2- Key Assumptions'!$C$5)^A14</f>
        <v>0</v>
      </c>
      <c r="D14" s="111">
        <f>($O$18*'2- Key Assumptions'!$C$68*'2- Key Assumptions'!$C$3/'2- Key Assumptions'!$C$4)/(1+'2- Key Assumptions'!$C$5)^A14</f>
        <v>0</v>
      </c>
      <c r="E14" s="111">
        <f>($O$19*'2- Key Assumptions'!$C$69*'2- Key Assumptions'!$C$3/'2- Key Assumptions'!$C$4)/(1+'2- Key Assumptions'!$C$5)^A14</f>
        <v>2.0157315335160559</v>
      </c>
      <c r="F14" s="111">
        <f>($O$20*'2- Key Assumptions'!$C$70*'2- Key Assumptions'!$C$3/'2- Key Assumptions'!$C$4)/(1+'2- Key Assumptions'!$C$5)^A14</f>
        <v>4.6757908364848655</v>
      </c>
      <c r="G14" s="111">
        <f>($O$21*'2- Key Assumptions'!$C$71*'2- Key Assumptions'!$C$3/'2- Key Assumptions'!$C$4)/(1+'2- Key Assumptions'!$C$5)^A14</f>
        <v>0</v>
      </c>
      <c r="H14" s="110"/>
      <c r="I14" s="204">
        <f>($O$15*'2- Key Assumptions'!$C$39*'2- Key Assumptions'!$C$3/'2- Key Assumptions'!$C$4)/(1+'2- Key Assumptions'!$C$5)^A14</f>
        <v>0</v>
      </c>
      <c r="K14" s="95" t="s">
        <v>34</v>
      </c>
      <c r="L14" s="103">
        <v>1.9748025669949837E-4</v>
      </c>
      <c r="M14" s="104">
        <v>7.5990711081247225E-4</v>
      </c>
      <c r="N14" s="289">
        <v>0</v>
      </c>
      <c r="O14" s="259"/>
    </row>
    <row r="15" spans="1:18">
      <c r="A15" s="118">
        <v>11</v>
      </c>
      <c r="B15" s="111">
        <f>($O$16*'2- Key Assumptions'!$C$66*'2- Key Assumptions'!$C$3/'2- Key Assumptions'!$C$4)/(1+'2- Key Assumptions'!$C$5)^A15</f>
        <v>0</v>
      </c>
      <c r="C15" s="111">
        <f>($O$17*'2- Key Assumptions'!$C$67*'2- Key Assumptions'!$C$3/'2- Key Assumptions'!$C$4)/(1+'2- Key Assumptions'!$C$5)^A15</f>
        <v>0</v>
      </c>
      <c r="D15" s="111">
        <f>($O$18*'2- Key Assumptions'!$C$68*'2- Key Assumptions'!$C$3/'2- Key Assumptions'!$C$4)/(1+'2- Key Assumptions'!$C$5)^A15</f>
        <v>0</v>
      </c>
      <c r="E15" s="111">
        <f>($O$19*'2- Key Assumptions'!$C$69*'2- Key Assumptions'!$C$3/'2- Key Assumptions'!$C$4)/(1+'2- Key Assumptions'!$C$5)^A15</f>
        <v>1.9382033976115922</v>
      </c>
      <c r="F15" s="111">
        <f>($O$20*'2- Key Assumptions'!$C$70*'2- Key Assumptions'!$C$3/'2- Key Assumptions'!$C$4)/(1+'2- Key Assumptions'!$C$5)^A15</f>
        <v>4.4959527273892936</v>
      </c>
      <c r="G15" s="111">
        <f>($O$21*'2- Key Assumptions'!$C$71*'2- Key Assumptions'!$C$3/'2- Key Assumptions'!$C$4)/(1+'2- Key Assumptions'!$C$5)^A15</f>
        <v>0</v>
      </c>
      <c r="H15" s="117"/>
      <c r="I15" s="204">
        <f>($O$15*'2- Key Assumptions'!$C$39*'2- Key Assumptions'!$C$3/'2- Key Assumptions'!$C$4)/(1+'2- Key Assumptions'!$C$5)^A15</f>
        <v>0</v>
      </c>
      <c r="K15" s="95" t="s">
        <v>35</v>
      </c>
      <c r="L15" s="96">
        <v>40.648448326273886</v>
      </c>
      <c r="M15" s="97">
        <v>214.16376727613985</v>
      </c>
      <c r="N15" s="291">
        <v>0</v>
      </c>
      <c r="O15" s="484">
        <f t="shared" ref="O15:O21" si="0">N15/1000000</f>
        <v>0</v>
      </c>
    </row>
    <row r="16" spans="1:18" ht="15.75" thickBot="1">
      <c r="A16" s="118">
        <v>12</v>
      </c>
      <c r="B16" s="111">
        <f>($O$16*'2- Key Assumptions'!$C$66*'2- Key Assumptions'!$C$3/'2- Key Assumptions'!$C$4)/(1+'2- Key Assumptions'!$C$5)^A16</f>
        <v>0</v>
      </c>
      <c r="C16" s="111">
        <f>($O$17*'2- Key Assumptions'!$C$67*'2- Key Assumptions'!$C$3/'2- Key Assumptions'!$C$4)/(1+'2- Key Assumptions'!$C$5)^A16</f>
        <v>0</v>
      </c>
      <c r="D16" s="111">
        <f>($O$18*'2- Key Assumptions'!$C$68*'2- Key Assumptions'!$C$3/'2- Key Assumptions'!$C$4)/(1+'2- Key Assumptions'!$C$5)^A16</f>
        <v>0</v>
      </c>
      <c r="E16" s="111">
        <f>($O$19*'2- Key Assumptions'!$C$69*'2- Key Assumptions'!$C$3/'2- Key Assumptions'!$C$4)/(1+'2- Key Assumptions'!$C$5)^A16</f>
        <v>1.863657113088069</v>
      </c>
      <c r="F16" s="111">
        <f>($O$20*'2- Key Assumptions'!$C$70*'2- Key Assumptions'!$C$3/'2- Key Assumptions'!$C$4)/(1+'2- Key Assumptions'!$C$5)^A16</f>
        <v>4.3230314686435509</v>
      </c>
      <c r="G16" s="111">
        <f>($O$21*'2- Key Assumptions'!$C$71*'2- Key Assumptions'!$C$3/'2- Key Assumptions'!$C$4)/(1+'2- Key Assumptions'!$C$5)^A16</f>
        <v>0</v>
      </c>
      <c r="H16" s="117"/>
      <c r="I16" s="204">
        <f>($O$15*'2- Key Assumptions'!$C$39*'2- Key Assumptions'!$C$3/'2- Key Assumptions'!$C$4)/(1+'2- Key Assumptions'!$C$5)^A16</f>
        <v>0</v>
      </c>
      <c r="K16" s="98" t="s">
        <v>36</v>
      </c>
      <c r="L16" s="101">
        <v>1.1885717282069285E-2</v>
      </c>
      <c r="M16" s="102">
        <v>1.1783987179098426E-2</v>
      </c>
      <c r="N16" s="290">
        <v>0</v>
      </c>
      <c r="O16" s="485">
        <f t="shared" si="0"/>
        <v>0</v>
      </c>
    </row>
    <row r="17" spans="1:16" ht="15.75" thickBot="1">
      <c r="A17" s="503" t="s">
        <v>88</v>
      </c>
      <c r="B17" s="504">
        <f t="shared" ref="B17:G17" si="1">SUM(B5:B16)</f>
        <v>0</v>
      </c>
      <c r="C17" s="504">
        <f t="shared" si="1"/>
        <v>0</v>
      </c>
      <c r="D17" s="504">
        <f t="shared" si="1"/>
        <v>0</v>
      </c>
      <c r="E17" s="504">
        <f t="shared" si="1"/>
        <v>28.002949233219042</v>
      </c>
      <c r="F17" s="504">
        <f t="shared" si="1"/>
        <v>64.957029863418342</v>
      </c>
      <c r="G17" s="504">
        <f t="shared" si="1"/>
        <v>0</v>
      </c>
      <c r="H17" s="504"/>
      <c r="I17" s="505">
        <f>SUM(I5:I16)</f>
        <v>0</v>
      </c>
      <c r="K17" s="98" t="s">
        <v>37</v>
      </c>
      <c r="L17" s="101">
        <v>1.6596811047283756E-2</v>
      </c>
      <c r="M17" s="102">
        <v>3.9892533139537459E-2</v>
      </c>
      <c r="N17" s="290">
        <v>0</v>
      </c>
      <c r="O17" s="485">
        <f t="shared" si="0"/>
        <v>0</v>
      </c>
    </row>
    <row r="18" spans="1:16">
      <c r="K18" s="95" t="s">
        <v>38</v>
      </c>
      <c r="L18" s="103">
        <v>4.3845133510497729E-2</v>
      </c>
      <c r="M18" s="104">
        <v>8.1950579995435174E-2</v>
      </c>
      <c r="N18" s="289">
        <v>0</v>
      </c>
      <c r="O18" s="485">
        <f t="shared" si="0"/>
        <v>0</v>
      </c>
    </row>
    <row r="19" spans="1:16">
      <c r="K19" s="95" t="s">
        <v>39</v>
      </c>
      <c r="L19" s="103">
        <v>1.7440539241527393E-3</v>
      </c>
      <c r="M19" s="104">
        <v>6.7417444182914815E-2</v>
      </c>
      <c r="N19" s="289">
        <v>2.0500000566244125E-2</v>
      </c>
      <c r="O19" s="485">
        <f t="shared" si="0"/>
        <v>2.0500000566244124E-8</v>
      </c>
      <c r="P19" s="8"/>
    </row>
    <row r="20" spans="1:16">
      <c r="K20" s="98" t="s">
        <v>40</v>
      </c>
      <c r="L20" s="101">
        <v>1.0688461073020301E-3</v>
      </c>
      <c r="M20" s="102">
        <v>3.5559193707734728E-2</v>
      </c>
      <c r="N20" s="290">
        <v>7.3000001721084118E-3</v>
      </c>
      <c r="O20" s="485">
        <f t="shared" si="0"/>
        <v>7.300000172108412E-9</v>
      </c>
      <c r="P20" s="8"/>
    </row>
    <row r="21" spans="1:16">
      <c r="A21" s="3"/>
      <c r="B21" s="109"/>
      <c r="C21" s="109"/>
      <c r="D21" s="109"/>
      <c r="E21" s="109"/>
      <c r="F21" s="109"/>
      <c r="G21" s="109"/>
      <c r="I21" s="109"/>
      <c r="K21" s="98" t="s">
        <v>41</v>
      </c>
      <c r="L21" s="101">
        <v>2.2585902494992514E-2</v>
      </c>
      <c r="M21" s="102">
        <v>6.7819609728326014E-2</v>
      </c>
      <c r="N21" s="290">
        <v>0</v>
      </c>
      <c r="O21" s="485">
        <f t="shared" si="0"/>
        <v>0</v>
      </c>
      <c r="P21" s="8"/>
    </row>
    <row r="22" spans="1:16">
      <c r="K22" s="95" t="s">
        <v>42</v>
      </c>
      <c r="L22" s="103">
        <v>3.1079786539135561E-4</v>
      </c>
      <c r="M22" s="104">
        <v>3.264208220531519E-3</v>
      </c>
      <c r="N22" s="289">
        <v>0</v>
      </c>
      <c r="O22" s="485"/>
      <c r="P22" s="8"/>
    </row>
    <row r="23" spans="1:16">
      <c r="E23" s="109"/>
      <c r="K23" s="95" t="s">
        <v>43</v>
      </c>
      <c r="L23" s="103">
        <v>5.9831938730997439E-4</v>
      </c>
      <c r="M23" s="104">
        <v>1.9375129090684364E-2</v>
      </c>
      <c r="N23" s="289">
        <v>0</v>
      </c>
      <c r="O23" s="485"/>
      <c r="P23" s="8"/>
    </row>
    <row r="24" spans="1:16">
      <c r="I24" s="109"/>
      <c r="K24" s="98" t="s">
        <v>44</v>
      </c>
      <c r="L24" s="101">
        <v>1.5740819343936958E-3</v>
      </c>
      <c r="M24" s="102">
        <v>3.0427401140861749E-2</v>
      </c>
      <c r="N24" s="290">
        <v>0</v>
      </c>
      <c r="O24" s="485"/>
      <c r="P24" s="8"/>
    </row>
    <row r="25" spans="1:16">
      <c r="K25" s="98" t="s">
        <v>45</v>
      </c>
      <c r="L25" s="101">
        <v>4.7175119262453044E-5</v>
      </c>
      <c r="M25" s="102">
        <v>1.7076287188214571E-2</v>
      </c>
      <c r="N25" s="290">
        <v>1.2751000352203846E-2</v>
      </c>
      <c r="O25" s="485"/>
      <c r="P25" s="8"/>
    </row>
    <row r="26" spans="1:16">
      <c r="K26" s="95" t="s">
        <v>46</v>
      </c>
      <c r="L26" s="103">
        <v>4.0070450969278957E-5</v>
      </c>
      <c r="M26" s="104">
        <v>1.6931420029435488E-2</v>
      </c>
      <c r="N26" s="289">
        <v>4.5406001070514325E-3</v>
      </c>
      <c r="O26" s="485"/>
      <c r="P26" s="8"/>
    </row>
    <row r="27" spans="1:16" ht="15.75" thickBot="1">
      <c r="K27" s="105" t="s">
        <v>47</v>
      </c>
      <c r="L27" s="106">
        <v>4.3655207846114035E-4</v>
      </c>
      <c r="M27" s="107">
        <v>9.8787925345507222E-3</v>
      </c>
      <c r="N27" s="108">
        <v>0</v>
      </c>
      <c r="O27" s="486"/>
      <c r="P27" s="8"/>
    </row>
    <row r="31" spans="1:16" ht="16.5" customHeight="1"/>
    <row r="41" spans="16:17">
      <c r="P41" s="84"/>
      <c r="Q41" s="84"/>
    </row>
    <row r="42" spans="16:17">
      <c r="P42" s="82"/>
    </row>
    <row r="48" spans="16:17">
      <c r="P48" s="82"/>
    </row>
    <row r="49" spans="16:16">
      <c r="P49" s="82"/>
    </row>
  </sheetData>
  <pageMargins left="0.7" right="0.7" top="0.75" bottom="0.75" header="0.3" footer="0.3"/>
  <pageSetup orientation="portrait" horizontalDpi="4294967292" verticalDpi="4294967292"/>
</worksheet>
</file>

<file path=xl/worksheets/sheet17.xml><?xml version="1.0" encoding="utf-8"?>
<worksheet xmlns="http://schemas.openxmlformats.org/spreadsheetml/2006/main" xmlns:r="http://schemas.openxmlformats.org/officeDocument/2006/relationships">
  <sheetPr>
    <tabColor rgb="FFC00000"/>
  </sheetPr>
  <dimension ref="A1:R49"/>
  <sheetViews>
    <sheetView workbookViewId="0">
      <selection activeCell="D30" sqref="D30"/>
    </sheetView>
  </sheetViews>
  <sheetFormatPr defaultColWidth="8.85546875" defaultRowHeight="15"/>
  <cols>
    <col min="3" max="3" width="11.42578125" bestFit="1" customWidth="1"/>
    <col min="9" max="9" width="8.42578125" customWidth="1"/>
    <col min="15" max="15" width="14.140625" customWidth="1"/>
    <col min="16" max="16" width="14.85546875" customWidth="1"/>
    <col min="17" max="17" width="13.28515625" bestFit="1" customWidth="1"/>
  </cols>
  <sheetData>
    <row r="1" spans="1:18">
      <c r="A1" s="3" t="s">
        <v>95</v>
      </c>
    </row>
    <row r="2" spans="1:18" ht="15.75" thickBot="1"/>
    <row r="3" spans="1:18">
      <c r="A3" s="201"/>
      <c r="B3" s="210" t="s">
        <v>14</v>
      </c>
      <c r="C3" s="202" t="s">
        <v>19</v>
      </c>
      <c r="D3" s="202" t="s">
        <v>2220</v>
      </c>
      <c r="E3" s="202" t="s">
        <v>18</v>
      </c>
      <c r="F3" s="202" t="s">
        <v>16</v>
      </c>
      <c r="G3" s="202" t="s">
        <v>2221</v>
      </c>
      <c r="H3" s="202"/>
      <c r="I3" s="203"/>
    </row>
    <row r="4" spans="1:18" ht="15.75" customHeight="1" thickBot="1">
      <c r="A4" s="114" t="s">
        <v>25</v>
      </c>
      <c r="B4" s="115"/>
      <c r="C4" s="115"/>
      <c r="D4" s="115"/>
      <c r="E4" s="115"/>
      <c r="F4" s="115"/>
      <c r="G4" s="115"/>
      <c r="H4" s="115"/>
      <c r="I4" s="116"/>
      <c r="K4" s="86" t="s">
        <v>51</v>
      </c>
      <c r="L4" s="87"/>
      <c r="M4" s="87"/>
      <c r="N4" s="87"/>
    </row>
    <row r="5" spans="1:18" ht="15.75" customHeight="1" thickBot="1">
      <c r="A5" s="118">
        <v>1</v>
      </c>
      <c r="B5" s="111">
        <f>($O$16*'2- Key Assumptions'!$C$66*LIFETIME_MILES/LIFETIME_YEARS)/(1+DISCOUNT_RATE)^A5</f>
        <v>0</v>
      </c>
      <c r="C5" s="111">
        <f>($O$17*'2- Key Assumptions'!$C$67*LIFETIME_MILES/LIFETIME_YEARS)/(1+DISCOUNT_RATE)^A5</f>
        <v>0</v>
      </c>
      <c r="D5" s="111">
        <f>($O$18*'2- Key Assumptions'!$C$68*LIFETIME_MILES/LIFETIME_YEARS)/(1+DISCOUNT_RATE)^A5</f>
        <v>0</v>
      </c>
      <c r="E5" s="111">
        <f>($O$19*'2- Key Assumptions'!$C$69*LIFETIME_MILES/LIFETIME_YEARS)/(1+DISCOUNT_RATE)^A5</f>
        <v>2.8690145023238771</v>
      </c>
      <c r="F5" s="111">
        <f>($O$20*'2- Key Assumptions'!$C$70*LIFETIME_MILES/LIFETIME_YEARS)/(1+DISCOUNT_RATE)^A5</f>
        <v>6.6551083299810463</v>
      </c>
      <c r="G5" s="111">
        <f>($O$21*'2- Key Assumptions'!$C$71*LIFETIME_MILES/LIFETIME_YEARS)/(1+DISCOUNT_RATE)^A5</f>
        <v>0</v>
      </c>
      <c r="H5" s="110"/>
      <c r="I5" s="204">
        <f>($O$15*SCC*LIFETIME_MILES/LIFETIME_YEARS)/(1+DISCOUNT_RATE)^A5</f>
        <v>0</v>
      </c>
      <c r="K5" s="293"/>
      <c r="L5" s="487" t="s">
        <v>21</v>
      </c>
      <c r="M5" s="488"/>
      <c r="N5" s="489"/>
      <c r="O5" s="490" t="s">
        <v>2522</v>
      </c>
    </row>
    <row r="6" spans="1:18" ht="16.5" customHeight="1">
      <c r="A6" s="118">
        <v>2</v>
      </c>
      <c r="B6" s="111">
        <f>($O$16*'2- Key Assumptions'!$C$66*'2- Key Assumptions'!$C$3/'2- Key Assumptions'!$C$4)/(1+'2- Key Assumptions'!$C$5)^A6</f>
        <v>0</v>
      </c>
      <c r="C6" s="111">
        <f>($O$17*'2- Key Assumptions'!$C$67*'2- Key Assumptions'!$C$3/'2- Key Assumptions'!$C$4)/(1+'2- Key Assumptions'!$C$5)^A6</f>
        <v>0</v>
      </c>
      <c r="D6" s="111">
        <f>($O$18*'2- Key Assumptions'!$C$68*'2- Key Assumptions'!$C$3/'2- Key Assumptions'!$C$4)/(1+'2- Key Assumptions'!$C$5)^A6</f>
        <v>0</v>
      </c>
      <c r="E6" s="111">
        <f>($O$19*'2- Key Assumptions'!$C$69*'2- Key Assumptions'!$C$3/'2- Key Assumptions'!$C$4)/(1+'2- Key Assumptions'!$C$5)^A6</f>
        <v>2.7586677906960353</v>
      </c>
      <c r="F6" s="111">
        <f>($O$20*'2- Key Assumptions'!$C$70*'2- Key Assumptions'!$C$3/'2- Key Assumptions'!$C$4)/(1+'2- Key Assumptions'!$C$5)^A6</f>
        <v>6.3991426249817742</v>
      </c>
      <c r="G6" s="111">
        <f>($O$21*'2- Key Assumptions'!$C$71*'2- Key Assumptions'!$C$3/'2- Key Assumptions'!$C$4)/(1+'2- Key Assumptions'!$C$5)^A6</f>
        <v>0</v>
      </c>
      <c r="H6" s="110"/>
      <c r="I6" s="204">
        <f>($O$15*'2- Key Assumptions'!$C$39*'2- Key Assumptions'!$C$3/'2- Key Assumptions'!$C$4)/(1+'2- Key Assumptions'!$C$5)^A6</f>
        <v>0</v>
      </c>
      <c r="K6" s="91" t="s">
        <v>22</v>
      </c>
      <c r="L6" s="92" t="s">
        <v>23</v>
      </c>
      <c r="M6" s="93" t="s">
        <v>24</v>
      </c>
      <c r="N6" s="94" t="s">
        <v>25</v>
      </c>
      <c r="O6" s="483" t="s">
        <v>25</v>
      </c>
    </row>
    <row r="7" spans="1:18">
      <c r="A7" s="118">
        <v>3</v>
      </c>
      <c r="B7" s="111">
        <f>($O$16*'2- Key Assumptions'!$C$66*'2- Key Assumptions'!$C$3/'2- Key Assumptions'!$C$4)/(1+'2- Key Assumptions'!$C$5)^A7</f>
        <v>0</v>
      </c>
      <c r="C7" s="111">
        <f>($O$17*'2- Key Assumptions'!$C$67*'2- Key Assumptions'!$C$3/'2- Key Assumptions'!$C$4)/(1+'2- Key Assumptions'!$C$5)^A7</f>
        <v>0</v>
      </c>
      <c r="D7" s="111">
        <f>($O$18*'2- Key Assumptions'!$C$68*'2- Key Assumptions'!$C$3/'2- Key Assumptions'!$C$4)/(1+'2- Key Assumptions'!$C$5)^A7</f>
        <v>0</v>
      </c>
      <c r="E7" s="111">
        <f>($O$19*'2- Key Assumptions'!$C$69*'2- Key Assumptions'!$C$3/'2- Key Assumptions'!$C$4)/(1+'2- Key Assumptions'!$C$5)^A7</f>
        <v>2.6525651833615727</v>
      </c>
      <c r="F7" s="111">
        <f>($O$20*'2- Key Assumptions'!$C$70*'2- Key Assumptions'!$C$3/'2- Key Assumptions'!$C$4)/(1+'2- Key Assumptions'!$C$5)^A7</f>
        <v>6.153021754790168</v>
      </c>
      <c r="G7" s="111">
        <f>($O$21*'2- Key Assumptions'!$C$71*'2- Key Assumptions'!$C$3/'2- Key Assumptions'!$C$4)/(1+'2- Key Assumptions'!$C$5)^A7</f>
        <v>0</v>
      </c>
      <c r="H7" s="110"/>
      <c r="I7" s="204">
        <f>($O$15*'2- Key Assumptions'!$C$39*'2- Key Assumptions'!$C$3/'2- Key Assumptions'!$C$4)/(1+'2- Key Assumptions'!$C$5)^A7</f>
        <v>0</v>
      </c>
      <c r="K7" s="95" t="s">
        <v>27</v>
      </c>
      <c r="L7" s="96">
        <v>145.8408634594837</v>
      </c>
      <c r="M7" s="97">
        <v>2144.2841292404219</v>
      </c>
      <c r="N7" s="291">
        <v>1553.8962662635975</v>
      </c>
      <c r="O7" s="259"/>
    </row>
    <row r="8" spans="1:18">
      <c r="A8" s="118">
        <v>4</v>
      </c>
      <c r="B8" s="111">
        <f>($O$16*'2- Key Assumptions'!$C$66*'2- Key Assumptions'!$C$3/'2- Key Assumptions'!$C$4)/(1+'2- Key Assumptions'!$C$5)^A8</f>
        <v>0</v>
      </c>
      <c r="C8" s="111">
        <f>($O$17*'2- Key Assumptions'!$C$67*'2- Key Assumptions'!$C$3/'2- Key Assumptions'!$C$4)/(1+'2- Key Assumptions'!$C$5)^A8</f>
        <v>0</v>
      </c>
      <c r="D8" s="111">
        <f>($O$18*'2- Key Assumptions'!$C$68*'2- Key Assumptions'!$C$3/'2- Key Assumptions'!$C$4)/(1+'2- Key Assumptions'!$C$5)^A8</f>
        <v>0</v>
      </c>
      <c r="E8" s="111">
        <f>($O$19*'2- Key Assumptions'!$C$69*'2- Key Assumptions'!$C$3/'2- Key Assumptions'!$C$4)/(1+'2- Key Assumptions'!$C$5)^A8</f>
        <v>2.5505434455399731</v>
      </c>
      <c r="F8" s="111">
        <f>($O$20*'2- Key Assumptions'!$C$70*'2- Key Assumptions'!$C$3/'2- Key Assumptions'!$C$4)/(1+'2- Key Assumptions'!$C$5)^A8</f>
        <v>5.9163670719136228</v>
      </c>
      <c r="G8" s="111">
        <f>($O$21*'2- Key Assumptions'!$C$71*'2- Key Assumptions'!$C$3/'2- Key Assumptions'!$C$4)/(1+'2- Key Assumptions'!$C$5)^A8</f>
        <v>0</v>
      </c>
      <c r="H8" s="110"/>
      <c r="I8" s="204">
        <f>($O$15*'2- Key Assumptions'!$C$39*'2- Key Assumptions'!$C$3/'2- Key Assumptions'!$C$4)/(1+'2- Key Assumptions'!$C$5)^A8</f>
        <v>0</v>
      </c>
      <c r="K8" s="98" t="s">
        <v>28</v>
      </c>
      <c r="L8" s="99">
        <v>142.1985983194815</v>
      </c>
      <c r="M8" s="100">
        <v>1799.2682177162221</v>
      </c>
      <c r="N8" s="292">
        <v>1317.3246203282126</v>
      </c>
      <c r="O8" s="259"/>
    </row>
    <row r="9" spans="1:18">
      <c r="A9" s="118">
        <v>5</v>
      </c>
      <c r="B9" s="111">
        <f>($O$16*'2- Key Assumptions'!$C$66*'2- Key Assumptions'!$C$3/'2- Key Assumptions'!$C$4)/(1+'2- Key Assumptions'!$C$5)^A9</f>
        <v>0</v>
      </c>
      <c r="C9" s="111">
        <f>($O$17*'2- Key Assumptions'!$C$67*'2- Key Assumptions'!$C$3/'2- Key Assumptions'!$C$4)/(1+'2- Key Assumptions'!$C$5)^A9</f>
        <v>0</v>
      </c>
      <c r="D9" s="111">
        <f>($O$18*'2- Key Assumptions'!$C$68*'2- Key Assumptions'!$C$3/'2- Key Assumptions'!$C$4)/(1+'2- Key Assumptions'!$C$5)^A9</f>
        <v>0</v>
      </c>
      <c r="E9" s="111">
        <f>($O$19*'2- Key Assumptions'!$C$69*'2- Key Assumptions'!$C$3/'2- Key Assumptions'!$C$4)/(1+'2- Key Assumptions'!$C$5)^A9</f>
        <v>2.4524456207115124</v>
      </c>
      <c r="F9" s="111">
        <f>($O$20*'2- Key Assumptions'!$C$70*'2- Key Assumptions'!$C$3/'2- Key Assumptions'!$C$4)/(1+'2- Key Assumptions'!$C$5)^A9</f>
        <v>5.688814492224636</v>
      </c>
      <c r="G9" s="111">
        <f>($O$21*'2- Key Assumptions'!$C$71*'2- Key Assumptions'!$C$3/'2- Key Assumptions'!$C$4)/(1+'2- Key Assumptions'!$C$5)^A9</f>
        <v>0</v>
      </c>
      <c r="H9" s="110"/>
      <c r="I9" s="204">
        <f>($O$15*'2- Key Assumptions'!$C$39*'2- Key Assumptions'!$C$3/'2- Key Assumptions'!$C$4)/(1+'2- Key Assumptions'!$C$5)^A9</f>
        <v>0</v>
      </c>
      <c r="K9" s="98" t="s">
        <v>29</v>
      </c>
      <c r="L9" s="99">
        <v>15.083113566176197</v>
      </c>
      <c r="M9" s="100">
        <v>1295.8150099733862</v>
      </c>
      <c r="N9" s="292">
        <v>889.47097041135487</v>
      </c>
      <c r="O9" s="259"/>
      <c r="R9" s="3"/>
    </row>
    <row r="10" spans="1:18">
      <c r="A10" s="118">
        <v>6</v>
      </c>
      <c r="B10" s="111">
        <f>($O$16*'2- Key Assumptions'!$C$66*'2- Key Assumptions'!$C$3/'2- Key Assumptions'!$C$4)/(1+'2- Key Assumptions'!$C$5)^A10</f>
        <v>0</v>
      </c>
      <c r="C10" s="111">
        <f>($O$17*'2- Key Assumptions'!$C$67*'2- Key Assumptions'!$C$3/'2- Key Assumptions'!$C$4)/(1+'2- Key Assumptions'!$C$5)^A10</f>
        <v>0</v>
      </c>
      <c r="D10" s="111">
        <f>($O$18*'2- Key Assumptions'!$C$68*'2- Key Assumptions'!$C$3/'2- Key Assumptions'!$C$4)/(1+'2- Key Assumptions'!$C$5)^A10</f>
        <v>0</v>
      </c>
      <c r="E10" s="111">
        <f>($O$19*'2- Key Assumptions'!$C$69*'2- Key Assumptions'!$C$3/'2- Key Assumptions'!$C$4)/(1+'2- Key Assumptions'!$C$5)^A10</f>
        <v>2.3581207891456852</v>
      </c>
      <c r="F10" s="111">
        <f>($O$20*'2- Key Assumptions'!$C$70*'2- Key Assumptions'!$C$3/'2- Key Assumptions'!$C$4)/(1+'2- Key Assumptions'!$C$5)^A10</f>
        <v>5.470013934831381</v>
      </c>
      <c r="G10" s="111">
        <f>($O$21*'2- Key Assumptions'!$C$71*'2- Key Assumptions'!$C$3/'2- Key Assumptions'!$C$4)/(1+'2- Key Assumptions'!$C$5)^A10</f>
        <v>0</v>
      </c>
      <c r="H10" s="110"/>
      <c r="I10" s="204">
        <f>($O$15*'2- Key Assumptions'!$C$39*'2- Key Assumptions'!$C$3/'2- Key Assumptions'!$C$4)/(1+'2- Key Assumptions'!$C$5)^A10</f>
        <v>0</v>
      </c>
      <c r="K10" s="95" t="s">
        <v>30</v>
      </c>
      <c r="L10" s="96">
        <v>89.241982220398981</v>
      </c>
      <c r="M10" s="97">
        <v>491.52669146313809</v>
      </c>
      <c r="N10" s="291">
        <v>394.06332688233556</v>
      </c>
      <c r="O10" s="259"/>
    </row>
    <row r="11" spans="1:18">
      <c r="A11" s="118">
        <v>7</v>
      </c>
      <c r="B11" s="111">
        <f>($O$16*'2- Key Assumptions'!$C$66*'2- Key Assumptions'!$C$3/'2- Key Assumptions'!$C$4)/(1+'2- Key Assumptions'!$C$5)^A11</f>
        <v>0</v>
      </c>
      <c r="C11" s="111">
        <f>($O$17*'2- Key Assumptions'!$C$67*'2- Key Assumptions'!$C$3/'2- Key Assumptions'!$C$4)/(1+'2- Key Assumptions'!$C$5)^A11</f>
        <v>0</v>
      </c>
      <c r="D11" s="111">
        <f>($O$18*'2- Key Assumptions'!$C$68*'2- Key Assumptions'!$C$3/'2- Key Assumptions'!$C$4)/(1+'2- Key Assumptions'!$C$5)^A11</f>
        <v>0</v>
      </c>
      <c r="E11" s="111">
        <f>($O$19*'2- Key Assumptions'!$C$69*'2- Key Assumptions'!$C$3/'2- Key Assumptions'!$C$4)/(1+'2- Key Assumptions'!$C$5)^A11</f>
        <v>2.2674238357170049</v>
      </c>
      <c r="F11" s="111">
        <f>($O$20*'2- Key Assumptions'!$C$70*'2- Key Assumptions'!$C$3/'2- Key Assumptions'!$C$4)/(1+'2- Key Assumptions'!$C$5)^A11</f>
        <v>5.2596287834917126</v>
      </c>
      <c r="G11" s="111">
        <f>($O$21*'2- Key Assumptions'!$C$71*'2- Key Assumptions'!$C$3/'2- Key Assumptions'!$C$4)/(1+'2- Key Assumptions'!$C$5)^A11</f>
        <v>0</v>
      </c>
      <c r="H11" s="110"/>
      <c r="I11" s="204">
        <f>($O$15*'2- Key Assumptions'!$C$39*'2- Key Assumptions'!$C$3/'2- Key Assumptions'!$C$4)/(1+'2- Key Assumptions'!$C$5)^A11</f>
        <v>0</v>
      </c>
      <c r="K11" s="95" t="s">
        <v>31</v>
      </c>
      <c r="L11" s="96">
        <v>37.873502532906329</v>
      </c>
      <c r="M11" s="97">
        <v>11.926516279697893</v>
      </c>
      <c r="N11" s="291">
        <v>33.790323034522203</v>
      </c>
      <c r="O11" s="259"/>
    </row>
    <row r="12" spans="1:18">
      <c r="A12" s="118">
        <v>8</v>
      </c>
      <c r="B12" s="111">
        <f>($O$16*'2- Key Assumptions'!$C$66*'2- Key Assumptions'!$C$3/'2- Key Assumptions'!$C$4)/(1+'2- Key Assumptions'!$C$5)^A12</f>
        <v>0</v>
      </c>
      <c r="C12" s="111">
        <f>($O$17*'2- Key Assumptions'!$C$67*'2- Key Assumptions'!$C$3/'2- Key Assumptions'!$C$4)/(1+'2- Key Assumptions'!$C$5)^A12</f>
        <v>0</v>
      </c>
      <c r="D12" s="111">
        <f>($O$18*'2- Key Assumptions'!$C$68*'2- Key Assumptions'!$C$3/'2- Key Assumptions'!$C$4)/(1+'2- Key Assumptions'!$C$5)^A12</f>
        <v>0</v>
      </c>
      <c r="E12" s="111">
        <f>($O$19*'2- Key Assumptions'!$C$69*'2- Key Assumptions'!$C$3/'2- Key Assumptions'!$C$4)/(1+'2- Key Assumptions'!$C$5)^A12</f>
        <v>2.180215226650966</v>
      </c>
      <c r="F12" s="111">
        <f>($O$20*'2- Key Assumptions'!$C$70*'2- Key Assumptions'!$C$3/'2- Key Assumptions'!$C$4)/(1+'2- Key Assumptions'!$C$5)^A12</f>
        <v>5.0573353687420308</v>
      </c>
      <c r="G12" s="111">
        <f>($O$21*'2- Key Assumptions'!$C$71*'2- Key Assumptions'!$C$3/'2- Key Assumptions'!$C$4)/(1+'2- Key Assumptions'!$C$5)^A12</f>
        <v>0</v>
      </c>
      <c r="H12" s="110"/>
      <c r="I12" s="204">
        <f>($O$15*'2- Key Assumptions'!$C$39*'2- Key Assumptions'!$C$3/'2- Key Assumptions'!$C$4)/(1+'2- Key Assumptions'!$C$5)^A12</f>
        <v>0</v>
      </c>
      <c r="K12" s="98" t="s">
        <v>78</v>
      </c>
      <c r="L12" s="99">
        <v>9.8304804730163511</v>
      </c>
      <c r="M12" s="100">
        <v>293.82702414919925</v>
      </c>
      <c r="N12" s="292">
        <v>0</v>
      </c>
      <c r="O12" s="259"/>
    </row>
    <row r="13" spans="1:18">
      <c r="A13" s="118">
        <v>9</v>
      </c>
      <c r="B13" s="111">
        <f>($O$16*'2- Key Assumptions'!$C$66*'2- Key Assumptions'!$C$3/'2- Key Assumptions'!$C$4)/(1+'2- Key Assumptions'!$C$5)^A13</f>
        <v>0</v>
      </c>
      <c r="C13" s="111">
        <f>($O$17*'2- Key Assumptions'!$C$67*'2- Key Assumptions'!$C$3/'2- Key Assumptions'!$C$4)/(1+'2- Key Assumptions'!$C$5)^A13</f>
        <v>0</v>
      </c>
      <c r="D13" s="111">
        <f>($O$18*'2- Key Assumptions'!$C$68*'2- Key Assumptions'!$C$3/'2- Key Assumptions'!$C$4)/(1+'2- Key Assumptions'!$C$5)^A13</f>
        <v>0</v>
      </c>
      <c r="E13" s="111">
        <f>($O$19*'2- Key Assumptions'!$C$69*'2- Key Assumptions'!$C$3/'2- Key Assumptions'!$C$4)/(1+'2- Key Assumptions'!$C$5)^A13</f>
        <v>2.096360794856698</v>
      </c>
      <c r="F13" s="111">
        <f>($O$20*'2- Key Assumptions'!$C$70*'2- Key Assumptions'!$C$3/'2- Key Assumptions'!$C$4)/(1+'2- Key Assumptions'!$C$5)^A13</f>
        <v>4.8628224699442599</v>
      </c>
      <c r="G13" s="111">
        <f>($O$21*'2- Key Assumptions'!$C$71*'2- Key Assumptions'!$C$3/'2- Key Assumptions'!$C$4)/(1+'2- Key Assumptions'!$C$5)^A13</f>
        <v>0</v>
      </c>
      <c r="H13" s="110"/>
      <c r="I13" s="204">
        <f>($O$15*'2- Key Assumptions'!$C$39*'2- Key Assumptions'!$C$3/'2- Key Assumptions'!$C$4)/(1+'2- Key Assumptions'!$C$5)^A13</f>
        <v>0</v>
      </c>
      <c r="K13" s="98" t="s">
        <v>33</v>
      </c>
      <c r="L13" s="101">
        <v>0.74420917382656837</v>
      </c>
      <c r="M13" s="102">
        <v>6.0421021178218822E-3</v>
      </c>
      <c r="N13" s="290">
        <v>0</v>
      </c>
      <c r="O13" s="259"/>
    </row>
    <row r="14" spans="1:18">
      <c r="A14" s="118">
        <v>10</v>
      </c>
      <c r="B14" s="111">
        <f>($O$16*'2- Key Assumptions'!$C$66*'2- Key Assumptions'!$C$3/'2- Key Assumptions'!$C$4)/(1+'2- Key Assumptions'!$C$5)^A14</f>
        <v>0</v>
      </c>
      <c r="C14" s="111">
        <f>($O$17*'2- Key Assumptions'!$C$67*'2- Key Assumptions'!$C$3/'2- Key Assumptions'!$C$4)/(1+'2- Key Assumptions'!$C$5)^A14</f>
        <v>0</v>
      </c>
      <c r="D14" s="111">
        <f>($O$18*'2- Key Assumptions'!$C$68*'2- Key Assumptions'!$C$3/'2- Key Assumptions'!$C$4)/(1+'2- Key Assumptions'!$C$5)^A14</f>
        <v>0</v>
      </c>
      <c r="E14" s="111">
        <f>($O$19*'2- Key Assumptions'!$C$69*'2- Key Assumptions'!$C$3/'2- Key Assumptions'!$C$4)/(1+'2- Key Assumptions'!$C$5)^A14</f>
        <v>2.0157315335160559</v>
      </c>
      <c r="F14" s="111">
        <f>($O$20*'2- Key Assumptions'!$C$70*'2- Key Assumptions'!$C$3/'2- Key Assumptions'!$C$4)/(1+'2- Key Assumptions'!$C$5)^A14</f>
        <v>4.6757908364848655</v>
      </c>
      <c r="G14" s="111">
        <f>($O$21*'2- Key Assumptions'!$C$71*'2- Key Assumptions'!$C$3/'2- Key Assumptions'!$C$4)/(1+'2- Key Assumptions'!$C$5)^A14</f>
        <v>0</v>
      </c>
      <c r="H14" s="110"/>
      <c r="I14" s="204">
        <f>($O$15*'2- Key Assumptions'!$C$39*'2- Key Assumptions'!$C$3/'2- Key Assumptions'!$C$4)/(1+'2- Key Assumptions'!$C$5)^A14</f>
        <v>0</v>
      </c>
      <c r="K14" s="95" t="s">
        <v>34</v>
      </c>
      <c r="L14" s="103">
        <v>1.7183760029239935E-4</v>
      </c>
      <c r="M14" s="104">
        <v>3.9507619897173182E-3</v>
      </c>
      <c r="N14" s="289">
        <v>0</v>
      </c>
      <c r="O14" s="259"/>
    </row>
    <row r="15" spans="1:18">
      <c r="A15" s="118">
        <v>11</v>
      </c>
      <c r="B15" s="111">
        <f>($O$16*'2- Key Assumptions'!$C$66*'2- Key Assumptions'!$C$3/'2- Key Assumptions'!$C$4)/(1+'2- Key Assumptions'!$C$5)^A15</f>
        <v>0</v>
      </c>
      <c r="C15" s="111">
        <f>($O$17*'2- Key Assumptions'!$C$67*'2- Key Assumptions'!$C$3/'2- Key Assumptions'!$C$4)/(1+'2- Key Assumptions'!$C$5)^A15</f>
        <v>0</v>
      </c>
      <c r="D15" s="111">
        <f>($O$18*'2- Key Assumptions'!$C$68*'2- Key Assumptions'!$C$3/'2- Key Assumptions'!$C$4)/(1+'2- Key Assumptions'!$C$5)^A15</f>
        <v>0</v>
      </c>
      <c r="E15" s="111">
        <f>($O$19*'2- Key Assumptions'!$C$69*'2- Key Assumptions'!$C$3/'2- Key Assumptions'!$C$4)/(1+'2- Key Assumptions'!$C$5)^A15</f>
        <v>1.9382033976115922</v>
      </c>
      <c r="F15" s="111">
        <f>($O$20*'2- Key Assumptions'!$C$70*'2- Key Assumptions'!$C$3/'2- Key Assumptions'!$C$4)/(1+'2- Key Assumptions'!$C$5)^A15</f>
        <v>4.4959527273892936</v>
      </c>
      <c r="G15" s="111">
        <f>($O$21*'2- Key Assumptions'!$C$71*'2- Key Assumptions'!$C$3/'2- Key Assumptions'!$C$4)/(1+'2- Key Assumptions'!$C$5)^A15</f>
        <v>0</v>
      </c>
      <c r="H15" s="117"/>
      <c r="I15" s="204">
        <f>($O$15*'2- Key Assumptions'!$C$39*'2- Key Assumptions'!$C$3/'2- Key Assumptions'!$C$4)/(1+'2- Key Assumptions'!$C$5)^A15</f>
        <v>0</v>
      </c>
      <c r="K15" s="95" t="s">
        <v>35</v>
      </c>
      <c r="L15" s="96">
        <v>28.486917423567697</v>
      </c>
      <c r="M15" s="97">
        <v>295.15540377508057</v>
      </c>
      <c r="N15" s="291">
        <v>0</v>
      </c>
      <c r="O15" s="484">
        <f t="shared" ref="O15:O21" si="0">N15/1000000</f>
        <v>0</v>
      </c>
    </row>
    <row r="16" spans="1:18" ht="15.75" thickBot="1">
      <c r="A16" s="118">
        <v>12</v>
      </c>
      <c r="B16" s="111">
        <f>($O$16*'2- Key Assumptions'!$C$66*'2- Key Assumptions'!$C$3/'2- Key Assumptions'!$C$4)/(1+'2- Key Assumptions'!$C$5)^A16</f>
        <v>0</v>
      </c>
      <c r="C16" s="111">
        <f>($O$17*'2- Key Assumptions'!$C$67*'2- Key Assumptions'!$C$3/'2- Key Assumptions'!$C$4)/(1+'2- Key Assumptions'!$C$5)^A16</f>
        <v>0</v>
      </c>
      <c r="D16" s="111">
        <f>($O$18*'2- Key Assumptions'!$C$68*'2- Key Assumptions'!$C$3/'2- Key Assumptions'!$C$4)/(1+'2- Key Assumptions'!$C$5)^A16</f>
        <v>0</v>
      </c>
      <c r="E16" s="111">
        <f>($O$19*'2- Key Assumptions'!$C$69*'2- Key Assumptions'!$C$3/'2- Key Assumptions'!$C$4)/(1+'2- Key Assumptions'!$C$5)^A16</f>
        <v>1.863657113088069</v>
      </c>
      <c r="F16" s="111">
        <f>($O$20*'2- Key Assumptions'!$C$70*'2- Key Assumptions'!$C$3/'2- Key Assumptions'!$C$4)/(1+'2- Key Assumptions'!$C$5)^A16</f>
        <v>4.3230314686435509</v>
      </c>
      <c r="G16" s="111">
        <f>($O$21*'2- Key Assumptions'!$C$71*'2- Key Assumptions'!$C$3/'2- Key Assumptions'!$C$4)/(1+'2- Key Assumptions'!$C$5)^A16</f>
        <v>0</v>
      </c>
      <c r="H16" s="117"/>
      <c r="I16" s="204">
        <f>($O$15*'2- Key Assumptions'!$C$39*'2- Key Assumptions'!$C$3/'2- Key Assumptions'!$C$4)/(1+'2- Key Assumptions'!$C$5)^A16</f>
        <v>0</v>
      </c>
      <c r="K16" s="98" t="s">
        <v>36</v>
      </c>
      <c r="L16" s="101">
        <v>2.1758072654613825E-2</v>
      </c>
      <c r="M16" s="102">
        <v>4.6188163441967887E-3</v>
      </c>
      <c r="N16" s="290">
        <v>0</v>
      </c>
      <c r="O16" s="485">
        <f t="shared" si="0"/>
        <v>0</v>
      </c>
    </row>
    <row r="17" spans="1:16" ht="15.75" thickBot="1">
      <c r="A17" s="503" t="s">
        <v>88</v>
      </c>
      <c r="B17" s="504">
        <f>SUM(B5:B16)</f>
        <v>0</v>
      </c>
      <c r="C17" s="504">
        <f>SUM(C5:C16)</f>
        <v>0</v>
      </c>
      <c r="D17" s="504">
        <f t="shared" ref="D17:I17" si="1">SUM(D5:D16)</f>
        <v>0</v>
      </c>
      <c r="E17" s="504">
        <f t="shared" si="1"/>
        <v>28.002949233219042</v>
      </c>
      <c r="F17" s="504">
        <f t="shared" si="1"/>
        <v>64.957029863418342</v>
      </c>
      <c r="G17" s="504">
        <f t="shared" si="1"/>
        <v>0</v>
      </c>
      <c r="H17" s="504"/>
      <c r="I17" s="505">
        <f t="shared" si="1"/>
        <v>0</v>
      </c>
      <c r="K17" s="98" t="s">
        <v>37</v>
      </c>
      <c r="L17" s="101">
        <v>1.3043745491463667E-2</v>
      </c>
      <c r="M17" s="102">
        <v>6.6967410903566851E-2</v>
      </c>
      <c r="N17" s="290">
        <v>0</v>
      </c>
      <c r="O17" s="485">
        <f t="shared" si="0"/>
        <v>0</v>
      </c>
    </row>
    <row r="18" spans="1:16">
      <c r="K18" s="95" t="s">
        <v>38</v>
      </c>
      <c r="L18" s="103">
        <v>4.4252469676870333E-2</v>
      </c>
      <c r="M18" s="104">
        <v>0.22837357074546455</v>
      </c>
      <c r="N18" s="289">
        <v>0</v>
      </c>
      <c r="O18" s="485">
        <f t="shared" si="0"/>
        <v>0</v>
      </c>
    </row>
    <row r="19" spans="1:16">
      <c r="K19" s="95" t="s">
        <v>39</v>
      </c>
      <c r="L19" s="103">
        <v>0.38131673646260311</v>
      </c>
      <c r="M19" s="104">
        <v>1.8045193947614318E-2</v>
      </c>
      <c r="N19" s="289">
        <v>2.0500000566244125E-2</v>
      </c>
      <c r="O19" s="485">
        <f t="shared" si="0"/>
        <v>2.0500000566244124E-8</v>
      </c>
      <c r="P19" s="8"/>
    </row>
    <row r="20" spans="1:16">
      <c r="E20" s="109"/>
      <c r="K20" s="98" t="s">
        <v>40</v>
      </c>
      <c r="L20" s="101">
        <v>9.5301988654020356E-2</v>
      </c>
      <c r="M20" s="102">
        <v>9.8699085317186814E-3</v>
      </c>
      <c r="N20" s="290">
        <v>7.3000001721084118E-3</v>
      </c>
      <c r="O20" s="485">
        <f t="shared" si="0"/>
        <v>7.300000172108412E-9</v>
      </c>
      <c r="P20" s="8"/>
    </row>
    <row r="21" spans="1:16">
      <c r="I21" s="109"/>
      <c r="K21" s="98" t="s">
        <v>41</v>
      </c>
      <c r="L21" s="101">
        <v>2.7865286199105613E-2</v>
      </c>
      <c r="M21" s="102">
        <v>0.5194866140222103</v>
      </c>
      <c r="N21" s="290">
        <v>0</v>
      </c>
      <c r="O21" s="485">
        <f t="shared" si="0"/>
        <v>0</v>
      </c>
      <c r="P21" s="8"/>
    </row>
    <row r="22" spans="1:16">
      <c r="K22" s="95" t="s">
        <v>42</v>
      </c>
      <c r="L22" s="103">
        <v>3.2035578441003164E-4</v>
      </c>
      <c r="M22" s="104">
        <v>1.4041981726314694E-3</v>
      </c>
      <c r="N22" s="289">
        <v>0</v>
      </c>
      <c r="O22" s="485"/>
      <c r="P22" s="8"/>
    </row>
    <row r="23" spans="1:16">
      <c r="K23" s="95" t="s">
        <v>43</v>
      </c>
      <c r="L23" s="103">
        <v>6.6326538773610257E-4</v>
      </c>
      <c r="M23" s="104">
        <v>1.6560029657873183E-2</v>
      </c>
      <c r="N23" s="289">
        <v>0</v>
      </c>
      <c r="O23" s="485"/>
      <c r="P23" s="8"/>
    </row>
    <row r="24" spans="1:16">
      <c r="K24" s="98" t="s">
        <v>44</v>
      </c>
      <c r="L24" s="101">
        <v>2.3695697635214758E-3</v>
      </c>
      <c r="M24" s="102">
        <v>4.5505653937883278E-2</v>
      </c>
      <c r="N24" s="290">
        <v>0</v>
      </c>
      <c r="O24" s="485"/>
      <c r="P24" s="8"/>
    </row>
    <row r="25" spans="1:16">
      <c r="K25" s="98" t="s">
        <v>45</v>
      </c>
      <c r="L25" s="101">
        <v>1.3498963699320633E-4</v>
      </c>
      <c r="M25" s="102">
        <v>3.3016628970565895E-3</v>
      </c>
      <c r="N25" s="290">
        <v>1.2751000352203846E-2</v>
      </c>
      <c r="O25" s="485"/>
      <c r="P25" s="8"/>
    </row>
    <row r="26" spans="1:16">
      <c r="K26" s="95" t="s">
        <v>46</v>
      </c>
      <c r="L26" s="103">
        <v>9.9854610304946401E-5</v>
      </c>
      <c r="M26" s="104">
        <v>2.0139957798693668E-3</v>
      </c>
      <c r="N26" s="289">
        <v>4.5406001070514325E-3</v>
      </c>
      <c r="O26" s="485"/>
      <c r="P26" s="8"/>
    </row>
    <row r="27" spans="1:16" ht="15.75" thickBot="1">
      <c r="K27" s="105" t="s">
        <v>47</v>
      </c>
      <c r="L27" s="106">
        <v>9.4523154324360954E-4</v>
      </c>
      <c r="M27" s="107">
        <v>8.9057186461263274E-2</v>
      </c>
      <c r="N27" s="108">
        <v>0</v>
      </c>
      <c r="O27" s="486"/>
      <c r="P27" s="8"/>
    </row>
    <row r="31" spans="1:16" ht="16.5" customHeight="1"/>
    <row r="41" spans="11:12">
      <c r="K41" s="84"/>
      <c r="L41" s="84"/>
    </row>
    <row r="42" spans="11:12">
      <c r="K42" s="82"/>
    </row>
    <row r="48" spans="11:12">
      <c r="K48" s="82"/>
    </row>
    <row r="49" spans="11:11">
      <c r="K49" s="82"/>
    </row>
  </sheetData>
  <pageMargins left="0.7" right="0.7" top="0.75" bottom="0.75" header="0.3" footer="0.3"/>
  <pageSetup orientation="portrait" horizontalDpi="4294967292" verticalDpi="4294967292"/>
</worksheet>
</file>

<file path=xl/worksheets/sheet18.xml><?xml version="1.0" encoding="utf-8"?>
<worksheet xmlns="http://schemas.openxmlformats.org/spreadsheetml/2006/main" xmlns:r="http://schemas.openxmlformats.org/officeDocument/2006/relationships">
  <sheetPr>
    <tabColor rgb="FFC00000"/>
  </sheetPr>
  <dimension ref="B2:Q21"/>
  <sheetViews>
    <sheetView workbookViewId="0">
      <selection activeCell="K27" sqref="K27"/>
    </sheetView>
  </sheetViews>
  <sheetFormatPr defaultColWidth="8.85546875" defaultRowHeight="15"/>
  <cols>
    <col min="8" max="8" width="11.85546875" customWidth="1"/>
  </cols>
  <sheetData>
    <row r="2" spans="2:17">
      <c r="B2" t="s">
        <v>2222</v>
      </c>
      <c r="I2" s="383" t="s">
        <v>2499</v>
      </c>
    </row>
    <row r="3" spans="2:17">
      <c r="B3" t="s">
        <v>8</v>
      </c>
      <c r="C3" t="s">
        <v>2223</v>
      </c>
      <c r="F3">
        <v>8.8237731314724593E-2</v>
      </c>
      <c r="G3" t="s">
        <v>220</v>
      </c>
    </row>
    <row r="4" spans="2:17">
      <c r="I4" s="446"/>
    </row>
    <row r="6" spans="2:17" ht="15.75" thickBot="1"/>
    <row r="7" spans="2:17" ht="45.75" thickBot="1">
      <c r="B7" s="265" t="s">
        <v>13</v>
      </c>
      <c r="C7" s="265" t="s">
        <v>12</v>
      </c>
      <c r="D7" s="266" t="s">
        <v>89</v>
      </c>
      <c r="E7" s="266" t="s">
        <v>113</v>
      </c>
      <c r="F7" s="266" t="s">
        <v>5</v>
      </c>
      <c r="G7" s="266" t="s">
        <v>107</v>
      </c>
      <c r="H7" s="267" t="s">
        <v>114</v>
      </c>
    </row>
    <row r="8" spans="2:17">
      <c r="B8" s="130">
        <v>1</v>
      </c>
      <c r="C8" s="147">
        <f t="shared" ref="C8:C19" si="0">(LIFETIME_MILES/LIFETIME_YEARS/CV_MPG*($F$3))/(1+DISCOUNT_RATE)^B8</f>
        <v>42.746862362960712</v>
      </c>
      <c r="D8" s="207">
        <f>C8*0.15</f>
        <v>6.4120293544441065</v>
      </c>
      <c r="E8" s="207">
        <f t="shared" ref="E8:E19" si="1">(LIFETIME_MILES/LIFETIME_YEARS/HEV_MPG)*(($F$3)/(1+DISCOUNT_RATE)^B8)</f>
        <v>30.533473116400508</v>
      </c>
      <c r="F8" s="207">
        <v>0</v>
      </c>
      <c r="G8" s="262">
        <v>0</v>
      </c>
      <c r="H8" s="263">
        <v>0</v>
      </c>
      <c r="L8" s="383" t="s">
        <v>2501</v>
      </c>
    </row>
    <row r="9" spans="2:17">
      <c r="B9" s="130">
        <v>2</v>
      </c>
      <c r="C9" s="147">
        <f t="shared" si="0"/>
        <v>41.102752272077609</v>
      </c>
      <c r="D9" s="207">
        <f>C9*0.15</f>
        <v>6.1654128408116415</v>
      </c>
      <c r="E9" s="207">
        <f t="shared" si="1"/>
        <v>29.359108765769719</v>
      </c>
      <c r="F9" s="207">
        <v>0</v>
      </c>
      <c r="G9" s="262">
        <v>0</v>
      </c>
      <c r="H9" s="263">
        <v>0</v>
      </c>
      <c r="L9" s="383" t="s">
        <v>2224</v>
      </c>
      <c r="M9" s="383"/>
      <c r="N9" s="383"/>
      <c r="O9" s="383"/>
      <c r="P9" s="383"/>
      <c r="Q9" s="383"/>
    </row>
    <row r="10" spans="2:17">
      <c r="B10" s="130">
        <v>3</v>
      </c>
      <c r="C10" s="147">
        <f t="shared" si="0"/>
        <v>39.521877184690005</v>
      </c>
      <c r="D10" s="207">
        <f>C10*0.15</f>
        <v>5.9282815777035003</v>
      </c>
      <c r="E10" s="207">
        <f t="shared" si="1"/>
        <v>28.229912274778577</v>
      </c>
      <c r="F10" s="207">
        <v>0</v>
      </c>
      <c r="G10" s="262">
        <v>0</v>
      </c>
      <c r="H10" s="263">
        <v>0</v>
      </c>
      <c r="L10" s="383" t="s">
        <v>8</v>
      </c>
      <c r="M10" s="383" t="s">
        <v>2225</v>
      </c>
      <c r="N10" s="383"/>
      <c r="O10" s="383"/>
      <c r="P10" s="383">
        <v>0.21838669948466</v>
      </c>
      <c r="Q10" s="383" t="s">
        <v>220</v>
      </c>
    </row>
    <row r="11" spans="2:17">
      <c r="B11" s="130">
        <v>4</v>
      </c>
      <c r="C11" s="147">
        <f t="shared" si="0"/>
        <v>38.001804985278845</v>
      </c>
      <c r="D11" s="207">
        <f>C11*0.15</f>
        <v>5.7002707477918264</v>
      </c>
      <c r="E11" s="207">
        <f t="shared" si="1"/>
        <v>27.144146418056316</v>
      </c>
      <c r="F11" s="207">
        <v>0</v>
      </c>
      <c r="G11" s="262">
        <v>0</v>
      </c>
      <c r="H11" s="263">
        <v>0</v>
      </c>
      <c r="L11" s="383"/>
      <c r="M11" s="383"/>
      <c r="N11" s="383"/>
      <c r="O11" s="383"/>
      <c r="P11" s="383"/>
      <c r="Q11" s="383"/>
    </row>
    <row r="12" spans="2:17">
      <c r="B12" s="130">
        <v>5</v>
      </c>
      <c r="C12" s="147">
        <f t="shared" si="0"/>
        <v>36.540197101229658</v>
      </c>
      <c r="D12" s="207">
        <f t="shared" ref="D12:D19" si="2">C12*0.15</f>
        <v>5.4810295651844489</v>
      </c>
      <c r="E12" s="207">
        <f t="shared" si="1"/>
        <v>26.100140786592615</v>
      </c>
      <c r="F12" s="207">
        <v>0</v>
      </c>
      <c r="G12" s="262">
        <v>0</v>
      </c>
      <c r="H12" s="263">
        <v>0</v>
      </c>
      <c r="L12" s="383" t="s">
        <v>2226</v>
      </c>
      <c r="M12" s="383"/>
      <c r="N12" s="383"/>
      <c r="O12" s="383"/>
      <c r="P12" s="383"/>
      <c r="Q12" s="383"/>
    </row>
    <row r="13" spans="2:17">
      <c r="B13" s="130">
        <v>6</v>
      </c>
      <c r="C13" s="147">
        <f t="shared" si="0"/>
        <v>35.134804905028517</v>
      </c>
      <c r="D13" s="207">
        <f t="shared" si="2"/>
        <v>5.2702207357542772</v>
      </c>
      <c r="E13" s="207">
        <f t="shared" si="1"/>
        <v>25.096289217877512</v>
      </c>
      <c r="F13" s="207">
        <v>0</v>
      </c>
      <c r="G13" s="262">
        <v>0</v>
      </c>
      <c r="H13" s="263">
        <v>0</v>
      </c>
      <c r="L13" s="383" t="s">
        <v>8</v>
      </c>
      <c r="M13" s="383" t="s">
        <v>2227</v>
      </c>
      <c r="N13" s="383"/>
      <c r="O13" s="383"/>
      <c r="P13" s="383">
        <v>3.1596307764211011E-2</v>
      </c>
      <c r="Q13" s="383" t="s">
        <v>220</v>
      </c>
    </row>
    <row r="14" spans="2:17">
      <c r="B14" s="130">
        <v>7</v>
      </c>
      <c r="C14" s="147">
        <f t="shared" si="0"/>
        <v>33.783466254835119</v>
      </c>
      <c r="D14" s="207">
        <f t="shared" si="2"/>
        <v>5.067519938225268</v>
      </c>
      <c r="E14" s="207">
        <f t="shared" si="1"/>
        <v>24.131047324882225</v>
      </c>
      <c r="F14" s="207">
        <v>0</v>
      </c>
      <c r="G14" s="262">
        <v>0</v>
      </c>
      <c r="H14" s="263">
        <v>0</v>
      </c>
    </row>
    <row r="15" spans="2:17">
      <c r="B15" s="130">
        <v>8</v>
      </c>
      <c r="C15" s="147">
        <f t="shared" si="0"/>
        <v>32.484102168110681</v>
      </c>
      <c r="D15" s="207">
        <f t="shared" si="2"/>
        <v>4.8726153252166018</v>
      </c>
      <c r="E15" s="207">
        <f t="shared" si="1"/>
        <v>23.202930120079056</v>
      </c>
      <c r="F15" s="207">
        <v>0</v>
      </c>
      <c r="G15" s="262">
        <v>0</v>
      </c>
      <c r="H15" s="263">
        <v>0</v>
      </c>
    </row>
    <row r="16" spans="2:17">
      <c r="B16" s="130">
        <v>9</v>
      </c>
      <c r="C16" s="147">
        <f t="shared" si="0"/>
        <v>31.234713623183346</v>
      </c>
      <c r="D16" s="207">
        <f t="shared" si="2"/>
        <v>4.6852070434775017</v>
      </c>
      <c r="E16" s="207">
        <f t="shared" si="1"/>
        <v>22.310509730845247</v>
      </c>
      <c r="F16" s="207">
        <v>0</v>
      </c>
      <c r="G16" s="262">
        <v>0</v>
      </c>
      <c r="H16" s="263">
        <v>0</v>
      </c>
    </row>
    <row r="17" spans="2:8">
      <c r="B17" s="130">
        <v>10</v>
      </c>
      <c r="C17" s="147">
        <f t="shared" si="0"/>
        <v>30.033378483830141</v>
      </c>
      <c r="D17" s="207">
        <f t="shared" si="2"/>
        <v>4.5050067725745206</v>
      </c>
      <c r="E17" s="207">
        <f t="shared" si="1"/>
        <v>21.452413202735812</v>
      </c>
      <c r="F17" s="207">
        <v>0</v>
      </c>
      <c r="G17" s="262">
        <v>0</v>
      </c>
      <c r="H17" s="263">
        <v>0</v>
      </c>
    </row>
    <row r="18" spans="2:8">
      <c r="B18" s="130">
        <v>11</v>
      </c>
      <c r="C18" s="147">
        <f t="shared" si="0"/>
        <v>28.87824854214437</v>
      </c>
      <c r="D18" s="207">
        <f t="shared" si="2"/>
        <v>4.3317372813216553</v>
      </c>
      <c r="E18" s="207">
        <f t="shared" si="1"/>
        <v>20.627320387245977</v>
      </c>
      <c r="F18" s="207">
        <v>0</v>
      </c>
      <c r="G18" s="262">
        <v>0</v>
      </c>
      <c r="H18" s="263">
        <v>0</v>
      </c>
    </row>
    <row r="19" spans="2:8">
      <c r="B19" s="130">
        <v>12</v>
      </c>
      <c r="C19" s="147">
        <f t="shared" si="0"/>
        <v>27.76754667513881</v>
      </c>
      <c r="D19" s="207">
        <f t="shared" si="2"/>
        <v>4.1651320012708215</v>
      </c>
      <c r="E19" s="207">
        <f t="shared" si="1"/>
        <v>19.833961910813436</v>
      </c>
      <c r="F19" s="207">
        <v>0</v>
      </c>
      <c r="G19" s="262">
        <v>0</v>
      </c>
      <c r="H19" s="263">
        <v>0</v>
      </c>
    </row>
    <row r="20" spans="2:8">
      <c r="B20" s="130"/>
      <c r="C20" s="130"/>
      <c r="D20" s="131"/>
      <c r="E20" s="131"/>
      <c r="F20" s="131"/>
      <c r="G20" s="131"/>
      <c r="H20" s="285"/>
    </row>
    <row r="21" spans="2:8" ht="15.75" thickBot="1">
      <c r="B21" s="132" t="s">
        <v>103</v>
      </c>
      <c r="C21" s="287">
        <f t="shared" ref="C21:H21" si="3">SUM(C8:C19)</f>
        <v>417.22975455850781</v>
      </c>
      <c r="D21" s="286">
        <f t="shared" si="3"/>
        <v>62.584463183776172</v>
      </c>
      <c r="E21" s="286">
        <f t="shared" si="3"/>
        <v>298.02125325607699</v>
      </c>
      <c r="F21" s="286">
        <f t="shared" si="3"/>
        <v>0</v>
      </c>
      <c r="G21" s="286">
        <f t="shared" si="3"/>
        <v>0</v>
      </c>
      <c r="H21" s="264">
        <f t="shared" si="3"/>
        <v>0</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dimension ref="A1:BM260"/>
  <sheetViews>
    <sheetView workbookViewId="0">
      <pane ySplit="3" topLeftCell="A157" activePane="bottomLeft" state="frozen"/>
      <selection activeCell="C9" sqref="C9"/>
      <selection pane="bottomLeft" activeCell="G167" sqref="G167"/>
    </sheetView>
  </sheetViews>
  <sheetFormatPr defaultColWidth="8.85546875" defaultRowHeight="12"/>
  <cols>
    <col min="1" max="1" width="2.7109375" style="161" customWidth="1"/>
    <col min="2" max="2" width="10.7109375" style="161" customWidth="1"/>
    <col min="3" max="3" width="32.7109375" style="160" customWidth="1"/>
    <col min="4" max="6" width="22.7109375" style="160" customWidth="1"/>
    <col min="7" max="7" width="30.7109375" style="160" customWidth="1"/>
    <col min="8" max="8" width="2.7109375" style="160" customWidth="1"/>
    <col min="9" max="9" width="10.7109375" style="161" customWidth="1"/>
    <col min="10" max="10" width="32.7109375" style="160" customWidth="1"/>
    <col min="11" max="13" width="22.7109375" style="160" customWidth="1"/>
    <col min="14" max="14" width="30.7109375" style="160" customWidth="1"/>
    <col min="15" max="15" width="2.7109375" style="160" customWidth="1"/>
    <col min="16" max="16" width="10.7109375" style="161" customWidth="1"/>
    <col min="17" max="17" width="32.7109375" style="160" customWidth="1"/>
    <col min="18" max="20" width="22.7109375" style="160" customWidth="1"/>
    <col min="21" max="21" width="30.7109375" style="160" customWidth="1"/>
    <col min="22" max="23" width="2.7109375" style="160" customWidth="1"/>
    <col min="24" max="24" width="10.7109375" style="161" customWidth="1"/>
    <col min="25" max="25" width="29.7109375" style="160" customWidth="1"/>
    <col min="26" max="28" width="22.7109375" style="160" customWidth="1"/>
    <col min="29" max="29" width="30.7109375" style="160" customWidth="1"/>
    <col min="30" max="30" width="2.7109375" style="160" customWidth="1"/>
    <col min="31" max="31" width="10.7109375" style="161" customWidth="1"/>
    <col min="32" max="32" width="29.7109375" style="160" customWidth="1"/>
    <col min="33" max="35" width="22.7109375" style="160" customWidth="1"/>
    <col min="36" max="36" width="30.7109375" style="160" customWidth="1"/>
    <col min="37" max="37" width="2.7109375" style="160" customWidth="1"/>
    <col min="38" max="38" width="10.7109375" style="161" customWidth="1"/>
    <col min="39" max="39" width="29.7109375" style="160" customWidth="1"/>
    <col min="40" max="42" width="22.7109375" style="160" customWidth="1"/>
    <col min="43" max="43" width="30.7109375" style="160" customWidth="1"/>
    <col min="44" max="45" width="2.7109375" style="160" customWidth="1"/>
    <col min="46" max="46" width="10.7109375" style="161" customWidth="1"/>
    <col min="47" max="47" width="29.7109375" style="160" customWidth="1"/>
    <col min="48" max="50" width="22.7109375" style="160" customWidth="1"/>
    <col min="51" max="51" width="30.7109375" style="160" customWidth="1"/>
    <col min="52" max="52" width="2.7109375" style="160" customWidth="1"/>
    <col min="53" max="53" width="10.7109375" style="161" customWidth="1"/>
    <col min="54" max="54" width="29.7109375" style="160" customWidth="1"/>
    <col min="55" max="57" width="22.7109375" style="160" customWidth="1"/>
    <col min="58" max="58" width="30.7109375" style="160" customWidth="1"/>
    <col min="59" max="59" width="2.7109375" style="160" customWidth="1"/>
    <col min="60" max="60" width="10.7109375" style="161" customWidth="1"/>
    <col min="61" max="61" width="29.7109375" style="160" customWidth="1"/>
    <col min="62" max="64" width="22.7109375" style="160" customWidth="1"/>
    <col min="65" max="65" width="30.7109375" style="160" customWidth="1"/>
    <col min="66" max="256" width="8.85546875" style="160"/>
    <col min="257" max="257" width="2.7109375" style="160" customWidth="1"/>
    <col min="258" max="258" width="10.7109375" style="160" customWidth="1"/>
    <col min="259" max="259" width="32.7109375" style="160" customWidth="1"/>
    <col min="260" max="262" width="22.7109375" style="160" customWidth="1"/>
    <col min="263" max="263" width="30.7109375" style="160" customWidth="1"/>
    <col min="264" max="264" width="2.7109375" style="160" customWidth="1"/>
    <col min="265" max="265" width="10.7109375" style="160" customWidth="1"/>
    <col min="266" max="266" width="32.7109375" style="160" customWidth="1"/>
    <col min="267" max="269" width="22.7109375" style="160" customWidth="1"/>
    <col min="270" max="270" width="30.7109375" style="160" customWidth="1"/>
    <col min="271" max="271" width="2.7109375" style="160" customWidth="1"/>
    <col min="272" max="272" width="10.7109375" style="160" customWidth="1"/>
    <col min="273" max="273" width="32.7109375" style="160" customWidth="1"/>
    <col min="274" max="276" width="22.7109375" style="160" customWidth="1"/>
    <col min="277" max="277" width="30.7109375" style="160" customWidth="1"/>
    <col min="278" max="279" width="2.7109375" style="160" customWidth="1"/>
    <col min="280" max="280" width="10.7109375" style="160" customWidth="1"/>
    <col min="281" max="281" width="29.7109375" style="160" customWidth="1"/>
    <col min="282" max="284" width="22.7109375" style="160" customWidth="1"/>
    <col min="285" max="285" width="30.7109375" style="160" customWidth="1"/>
    <col min="286" max="286" width="2.7109375" style="160" customWidth="1"/>
    <col min="287" max="287" width="10.7109375" style="160" customWidth="1"/>
    <col min="288" max="288" width="29.7109375" style="160" customWidth="1"/>
    <col min="289" max="291" width="22.7109375" style="160" customWidth="1"/>
    <col min="292" max="292" width="30.7109375" style="160" customWidth="1"/>
    <col min="293" max="293" width="2.7109375" style="160" customWidth="1"/>
    <col min="294" max="294" width="10.7109375" style="160" customWidth="1"/>
    <col min="295" max="295" width="29.7109375" style="160" customWidth="1"/>
    <col min="296" max="298" width="22.7109375" style="160" customWidth="1"/>
    <col min="299" max="299" width="30.7109375" style="160" customWidth="1"/>
    <col min="300" max="301" width="2.7109375" style="160" customWidth="1"/>
    <col min="302" max="302" width="10.7109375" style="160" customWidth="1"/>
    <col min="303" max="303" width="29.7109375" style="160" customWidth="1"/>
    <col min="304" max="306" width="22.7109375" style="160" customWidth="1"/>
    <col min="307" max="307" width="30.7109375" style="160" customWidth="1"/>
    <col min="308" max="308" width="2.7109375" style="160" customWidth="1"/>
    <col min="309" max="309" width="10.7109375" style="160" customWidth="1"/>
    <col min="310" max="310" width="29.7109375" style="160" customWidth="1"/>
    <col min="311" max="313" width="22.7109375" style="160" customWidth="1"/>
    <col min="314" max="314" width="30.7109375" style="160" customWidth="1"/>
    <col min="315" max="315" width="2.7109375" style="160" customWidth="1"/>
    <col min="316" max="316" width="10.7109375" style="160" customWidth="1"/>
    <col min="317" max="317" width="29.7109375" style="160" customWidth="1"/>
    <col min="318" max="320" width="22.7109375" style="160" customWidth="1"/>
    <col min="321" max="321" width="30.7109375" style="160" customWidth="1"/>
    <col min="322" max="512" width="8.85546875" style="160"/>
    <col min="513" max="513" width="2.7109375" style="160" customWidth="1"/>
    <col min="514" max="514" width="10.7109375" style="160" customWidth="1"/>
    <col min="515" max="515" width="32.7109375" style="160" customWidth="1"/>
    <col min="516" max="518" width="22.7109375" style="160" customWidth="1"/>
    <col min="519" max="519" width="30.7109375" style="160" customWidth="1"/>
    <col min="520" max="520" width="2.7109375" style="160" customWidth="1"/>
    <col min="521" max="521" width="10.7109375" style="160" customWidth="1"/>
    <col min="522" max="522" width="32.7109375" style="160" customWidth="1"/>
    <col min="523" max="525" width="22.7109375" style="160" customWidth="1"/>
    <col min="526" max="526" width="30.7109375" style="160" customWidth="1"/>
    <col min="527" max="527" width="2.7109375" style="160" customWidth="1"/>
    <col min="528" max="528" width="10.7109375" style="160" customWidth="1"/>
    <col min="529" max="529" width="32.7109375" style="160" customWidth="1"/>
    <col min="530" max="532" width="22.7109375" style="160" customWidth="1"/>
    <col min="533" max="533" width="30.7109375" style="160" customWidth="1"/>
    <col min="534" max="535" width="2.7109375" style="160" customWidth="1"/>
    <col min="536" max="536" width="10.7109375" style="160" customWidth="1"/>
    <col min="537" max="537" width="29.7109375" style="160" customWidth="1"/>
    <col min="538" max="540" width="22.7109375" style="160" customWidth="1"/>
    <col min="541" max="541" width="30.7109375" style="160" customWidth="1"/>
    <col min="542" max="542" width="2.7109375" style="160" customWidth="1"/>
    <col min="543" max="543" width="10.7109375" style="160" customWidth="1"/>
    <col min="544" max="544" width="29.7109375" style="160" customWidth="1"/>
    <col min="545" max="547" width="22.7109375" style="160" customWidth="1"/>
    <col min="548" max="548" width="30.7109375" style="160" customWidth="1"/>
    <col min="549" max="549" width="2.7109375" style="160" customWidth="1"/>
    <col min="550" max="550" width="10.7109375" style="160" customWidth="1"/>
    <col min="551" max="551" width="29.7109375" style="160" customWidth="1"/>
    <col min="552" max="554" width="22.7109375" style="160" customWidth="1"/>
    <col min="555" max="555" width="30.7109375" style="160" customWidth="1"/>
    <col min="556" max="557" width="2.7109375" style="160" customWidth="1"/>
    <col min="558" max="558" width="10.7109375" style="160" customWidth="1"/>
    <col min="559" max="559" width="29.7109375" style="160" customWidth="1"/>
    <col min="560" max="562" width="22.7109375" style="160" customWidth="1"/>
    <col min="563" max="563" width="30.7109375" style="160" customWidth="1"/>
    <col min="564" max="564" width="2.7109375" style="160" customWidth="1"/>
    <col min="565" max="565" width="10.7109375" style="160" customWidth="1"/>
    <col min="566" max="566" width="29.7109375" style="160" customWidth="1"/>
    <col min="567" max="569" width="22.7109375" style="160" customWidth="1"/>
    <col min="570" max="570" width="30.7109375" style="160" customWidth="1"/>
    <col min="571" max="571" width="2.7109375" style="160" customWidth="1"/>
    <col min="572" max="572" width="10.7109375" style="160" customWidth="1"/>
    <col min="573" max="573" width="29.7109375" style="160" customWidth="1"/>
    <col min="574" max="576" width="22.7109375" style="160" customWidth="1"/>
    <col min="577" max="577" width="30.7109375" style="160" customWidth="1"/>
    <col min="578" max="768" width="8.85546875" style="160"/>
    <col min="769" max="769" width="2.7109375" style="160" customWidth="1"/>
    <col min="770" max="770" width="10.7109375" style="160" customWidth="1"/>
    <col min="771" max="771" width="32.7109375" style="160" customWidth="1"/>
    <col min="772" max="774" width="22.7109375" style="160" customWidth="1"/>
    <col min="775" max="775" width="30.7109375" style="160" customWidth="1"/>
    <col min="776" max="776" width="2.7109375" style="160" customWidth="1"/>
    <col min="777" max="777" width="10.7109375" style="160" customWidth="1"/>
    <col min="778" max="778" width="32.7109375" style="160" customWidth="1"/>
    <col min="779" max="781" width="22.7109375" style="160" customWidth="1"/>
    <col min="782" max="782" width="30.7109375" style="160" customWidth="1"/>
    <col min="783" max="783" width="2.7109375" style="160" customWidth="1"/>
    <col min="784" max="784" width="10.7109375" style="160" customWidth="1"/>
    <col min="785" max="785" width="32.7109375" style="160" customWidth="1"/>
    <col min="786" max="788" width="22.7109375" style="160" customWidth="1"/>
    <col min="789" max="789" width="30.7109375" style="160" customWidth="1"/>
    <col min="790" max="791" width="2.7109375" style="160" customWidth="1"/>
    <col min="792" max="792" width="10.7109375" style="160" customWidth="1"/>
    <col min="793" max="793" width="29.7109375" style="160" customWidth="1"/>
    <col min="794" max="796" width="22.7109375" style="160" customWidth="1"/>
    <col min="797" max="797" width="30.7109375" style="160" customWidth="1"/>
    <col min="798" max="798" width="2.7109375" style="160" customWidth="1"/>
    <col min="799" max="799" width="10.7109375" style="160" customWidth="1"/>
    <col min="800" max="800" width="29.7109375" style="160" customWidth="1"/>
    <col min="801" max="803" width="22.7109375" style="160" customWidth="1"/>
    <col min="804" max="804" width="30.7109375" style="160" customWidth="1"/>
    <col min="805" max="805" width="2.7109375" style="160" customWidth="1"/>
    <col min="806" max="806" width="10.7109375" style="160" customWidth="1"/>
    <col min="807" max="807" width="29.7109375" style="160" customWidth="1"/>
    <col min="808" max="810" width="22.7109375" style="160" customWidth="1"/>
    <col min="811" max="811" width="30.7109375" style="160" customWidth="1"/>
    <col min="812" max="813" width="2.7109375" style="160" customWidth="1"/>
    <col min="814" max="814" width="10.7109375" style="160" customWidth="1"/>
    <col min="815" max="815" width="29.7109375" style="160" customWidth="1"/>
    <col min="816" max="818" width="22.7109375" style="160" customWidth="1"/>
    <col min="819" max="819" width="30.7109375" style="160" customWidth="1"/>
    <col min="820" max="820" width="2.7109375" style="160" customWidth="1"/>
    <col min="821" max="821" width="10.7109375" style="160" customWidth="1"/>
    <col min="822" max="822" width="29.7109375" style="160" customWidth="1"/>
    <col min="823" max="825" width="22.7109375" style="160" customWidth="1"/>
    <col min="826" max="826" width="30.7109375" style="160" customWidth="1"/>
    <col min="827" max="827" width="2.7109375" style="160" customWidth="1"/>
    <col min="828" max="828" width="10.7109375" style="160" customWidth="1"/>
    <col min="829" max="829" width="29.7109375" style="160" customWidth="1"/>
    <col min="830" max="832" width="22.7109375" style="160" customWidth="1"/>
    <col min="833" max="833" width="30.7109375" style="160" customWidth="1"/>
    <col min="834" max="1024" width="8.85546875" style="160"/>
    <col min="1025" max="1025" width="2.7109375" style="160" customWidth="1"/>
    <col min="1026" max="1026" width="10.7109375" style="160" customWidth="1"/>
    <col min="1027" max="1027" width="32.7109375" style="160" customWidth="1"/>
    <col min="1028" max="1030" width="22.7109375" style="160" customWidth="1"/>
    <col min="1031" max="1031" width="30.7109375" style="160" customWidth="1"/>
    <col min="1032" max="1032" width="2.7109375" style="160" customWidth="1"/>
    <col min="1033" max="1033" width="10.7109375" style="160" customWidth="1"/>
    <col min="1034" max="1034" width="32.7109375" style="160" customWidth="1"/>
    <col min="1035" max="1037" width="22.7109375" style="160" customWidth="1"/>
    <col min="1038" max="1038" width="30.7109375" style="160" customWidth="1"/>
    <col min="1039" max="1039" width="2.7109375" style="160" customWidth="1"/>
    <col min="1040" max="1040" width="10.7109375" style="160" customWidth="1"/>
    <col min="1041" max="1041" width="32.7109375" style="160" customWidth="1"/>
    <col min="1042" max="1044" width="22.7109375" style="160" customWidth="1"/>
    <col min="1045" max="1045" width="30.7109375" style="160" customWidth="1"/>
    <col min="1046" max="1047" width="2.7109375" style="160" customWidth="1"/>
    <col min="1048" max="1048" width="10.7109375" style="160" customWidth="1"/>
    <col min="1049" max="1049" width="29.7109375" style="160" customWidth="1"/>
    <col min="1050" max="1052" width="22.7109375" style="160" customWidth="1"/>
    <col min="1053" max="1053" width="30.7109375" style="160" customWidth="1"/>
    <col min="1054" max="1054" width="2.7109375" style="160" customWidth="1"/>
    <col min="1055" max="1055" width="10.7109375" style="160" customWidth="1"/>
    <col min="1056" max="1056" width="29.7109375" style="160" customWidth="1"/>
    <col min="1057" max="1059" width="22.7109375" style="160" customWidth="1"/>
    <col min="1060" max="1060" width="30.7109375" style="160" customWidth="1"/>
    <col min="1061" max="1061" width="2.7109375" style="160" customWidth="1"/>
    <col min="1062" max="1062" width="10.7109375" style="160" customWidth="1"/>
    <col min="1063" max="1063" width="29.7109375" style="160" customWidth="1"/>
    <col min="1064" max="1066" width="22.7109375" style="160" customWidth="1"/>
    <col min="1067" max="1067" width="30.7109375" style="160" customWidth="1"/>
    <col min="1068" max="1069" width="2.7109375" style="160" customWidth="1"/>
    <col min="1070" max="1070" width="10.7109375" style="160" customWidth="1"/>
    <col min="1071" max="1071" width="29.7109375" style="160" customWidth="1"/>
    <col min="1072" max="1074" width="22.7109375" style="160" customWidth="1"/>
    <col min="1075" max="1075" width="30.7109375" style="160" customWidth="1"/>
    <col min="1076" max="1076" width="2.7109375" style="160" customWidth="1"/>
    <col min="1077" max="1077" width="10.7109375" style="160" customWidth="1"/>
    <col min="1078" max="1078" width="29.7109375" style="160" customWidth="1"/>
    <col min="1079" max="1081" width="22.7109375" style="160" customWidth="1"/>
    <col min="1082" max="1082" width="30.7109375" style="160" customWidth="1"/>
    <col min="1083" max="1083" width="2.7109375" style="160" customWidth="1"/>
    <col min="1084" max="1084" width="10.7109375" style="160" customWidth="1"/>
    <col min="1085" max="1085" width="29.7109375" style="160" customWidth="1"/>
    <col min="1086" max="1088" width="22.7109375" style="160" customWidth="1"/>
    <col min="1089" max="1089" width="30.7109375" style="160" customWidth="1"/>
    <col min="1090" max="1280" width="8.85546875" style="160"/>
    <col min="1281" max="1281" width="2.7109375" style="160" customWidth="1"/>
    <col min="1282" max="1282" width="10.7109375" style="160" customWidth="1"/>
    <col min="1283" max="1283" width="32.7109375" style="160" customWidth="1"/>
    <col min="1284" max="1286" width="22.7109375" style="160" customWidth="1"/>
    <col min="1287" max="1287" width="30.7109375" style="160" customWidth="1"/>
    <col min="1288" max="1288" width="2.7109375" style="160" customWidth="1"/>
    <col min="1289" max="1289" width="10.7109375" style="160" customWidth="1"/>
    <col min="1290" max="1290" width="32.7109375" style="160" customWidth="1"/>
    <col min="1291" max="1293" width="22.7109375" style="160" customWidth="1"/>
    <col min="1294" max="1294" width="30.7109375" style="160" customWidth="1"/>
    <col min="1295" max="1295" width="2.7109375" style="160" customWidth="1"/>
    <col min="1296" max="1296" width="10.7109375" style="160" customWidth="1"/>
    <col min="1297" max="1297" width="32.7109375" style="160" customWidth="1"/>
    <col min="1298" max="1300" width="22.7109375" style="160" customWidth="1"/>
    <col min="1301" max="1301" width="30.7109375" style="160" customWidth="1"/>
    <col min="1302" max="1303" width="2.7109375" style="160" customWidth="1"/>
    <col min="1304" max="1304" width="10.7109375" style="160" customWidth="1"/>
    <col min="1305" max="1305" width="29.7109375" style="160" customWidth="1"/>
    <col min="1306" max="1308" width="22.7109375" style="160" customWidth="1"/>
    <col min="1309" max="1309" width="30.7109375" style="160" customWidth="1"/>
    <col min="1310" max="1310" width="2.7109375" style="160" customWidth="1"/>
    <col min="1311" max="1311" width="10.7109375" style="160" customWidth="1"/>
    <col min="1312" max="1312" width="29.7109375" style="160" customWidth="1"/>
    <col min="1313" max="1315" width="22.7109375" style="160" customWidth="1"/>
    <col min="1316" max="1316" width="30.7109375" style="160" customWidth="1"/>
    <col min="1317" max="1317" width="2.7109375" style="160" customWidth="1"/>
    <col min="1318" max="1318" width="10.7109375" style="160" customWidth="1"/>
    <col min="1319" max="1319" width="29.7109375" style="160" customWidth="1"/>
    <col min="1320" max="1322" width="22.7109375" style="160" customWidth="1"/>
    <col min="1323" max="1323" width="30.7109375" style="160" customWidth="1"/>
    <col min="1324" max="1325" width="2.7109375" style="160" customWidth="1"/>
    <col min="1326" max="1326" width="10.7109375" style="160" customWidth="1"/>
    <col min="1327" max="1327" width="29.7109375" style="160" customWidth="1"/>
    <col min="1328" max="1330" width="22.7109375" style="160" customWidth="1"/>
    <col min="1331" max="1331" width="30.7109375" style="160" customWidth="1"/>
    <col min="1332" max="1332" width="2.7109375" style="160" customWidth="1"/>
    <col min="1333" max="1333" width="10.7109375" style="160" customWidth="1"/>
    <col min="1334" max="1334" width="29.7109375" style="160" customWidth="1"/>
    <col min="1335" max="1337" width="22.7109375" style="160" customWidth="1"/>
    <col min="1338" max="1338" width="30.7109375" style="160" customWidth="1"/>
    <col min="1339" max="1339" width="2.7109375" style="160" customWidth="1"/>
    <col min="1340" max="1340" width="10.7109375" style="160" customWidth="1"/>
    <col min="1341" max="1341" width="29.7109375" style="160" customWidth="1"/>
    <col min="1342" max="1344" width="22.7109375" style="160" customWidth="1"/>
    <col min="1345" max="1345" width="30.7109375" style="160" customWidth="1"/>
    <col min="1346" max="1536" width="8.85546875" style="160"/>
    <col min="1537" max="1537" width="2.7109375" style="160" customWidth="1"/>
    <col min="1538" max="1538" width="10.7109375" style="160" customWidth="1"/>
    <col min="1539" max="1539" width="32.7109375" style="160" customWidth="1"/>
    <col min="1540" max="1542" width="22.7109375" style="160" customWidth="1"/>
    <col min="1543" max="1543" width="30.7109375" style="160" customWidth="1"/>
    <col min="1544" max="1544" width="2.7109375" style="160" customWidth="1"/>
    <col min="1545" max="1545" width="10.7109375" style="160" customWidth="1"/>
    <col min="1546" max="1546" width="32.7109375" style="160" customWidth="1"/>
    <col min="1547" max="1549" width="22.7109375" style="160" customWidth="1"/>
    <col min="1550" max="1550" width="30.7109375" style="160" customWidth="1"/>
    <col min="1551" max="1551" width="2.7109375" style="160" customWidth="1"/>
    <col min="1552" max="1552" width="10.7109375" style="160" customWidth="1"/>
    <col min="1553" max="1553" width="32.7109375" style="160" customWidth="1"/>
    <col min="1554" max="1556" width="22.7109375" style="160" customWidth="1"/>
    <col min="1557" max="1557" width="30.7109375" style="160" customWidth="1"/>
    <col min="1558" max="1559" width="2.7109375" style="160" customWidth="1"/>
    <col min="1560" max="1560" width="10.7109375" style="160" customWidth="1"/>
    <col min="1561" max="1561" width="29.7109375" style="160" customWidth="1"/>
    <col min="1562" max="1564" width="22.7109375" style="160" customWidth="1"/>
    <col min="1565" max="1565" width="30.7109375" style="160" customWidth="1"/>
    <col min="1566" max="1566" width="2.7109375" style="160" customWidth="1"/>
    <col min="1567" max="1567" width="10.7109375" style="160" customWidth="1"/>
    <col min="1568" max="1568" width="29.7109375" style="160" customWidth="1"/>
    <col min="1569" max="1571" width="22.7109375" style="160" customWidth="1"/>
    <col min="1572" max="1572" width="30.7109375" style="160" customWidth="1"/>
    <col min="1573" max="1573" width="2.7109375" style="160" customWidth="1"/>
    <col min="1574" max="1574" width="10.7109375" style="160" customWidth="1"/>
    <col min="1575" max="1575" width="29.7109375" style="160" customWidth="1"/>
    <col min="1576" max="1578" width="22.7109375" style="160" customWidth="1"/>
    <col min="1579" max="1579" width="30.7109375" style="160" customWidth="1"/>
    <col min="1580" max="1581" width="2.7109375" style="160" customWidth="1"/>
    <col min="1582" max="1582" width="10.7109375" style="160" customWidth="1"/>
    <col min="1583" max="1583" width="29.7109375" style="160" customWidth="1"/>
    <col min="1584" max="1586" width="22.7109375" style="160" customWidth="1"/>
    <col min="1587" max="1587" width="30.7109375" style="160" customWidth="1"/>
    <col min="1588" max="1588" width="2.7109375" style="160" customWidth="1"/>
    <col min="1589" max="1589" width="10.7109375" style="160" customWidth="1"/>
    <col min="1590" max="1590" width="29.7109375" style="160" customWidth="1"/>
    <col min="1591" max="1593" width="22.7109375" style="160" customWidth="1"/>
    <col min="1594" max="1594" width="30.7109375" style="160" customWidth="1"/>
    <col min="1595" max="1595" width="2.7109375" style="160" customWidth="1"/>
    <col min="1596" max="1596" width="10.7109375" style="160" customWidth="1"/>
    <col min="1597" max="1597" width="29.7109375" style="160" customWidth="1"/>
    <col min="1598" max="1600" width="22.7109375" style="160" customWidth="1"/>
    <col min="1601" max="1601" width="30.7109375" style="160" customWidth="1"/>
    <col min="1602" max="1792" width="8.85546875" style="160"/>
    <col min="1793" max="1793" width="2.7109375" style="160" customWidth="1"/>
    <col min="1794" max="1794" width="10.7109375" style="160" customWidth="1"/>
    <col min="1795" max="1795" width="32.7109375" style="160" customWidth="1"/>
    <col min="1796" max="1798" width="22.7109375" style="160" customWidth="1"/>
    <col min="1799" max="1799" width="30.7109375" style="160" customWidth="1"/>
    <col min="1800" max="1800" width="2.7109375" style="160" customWidth="1"/>
    <col min="1801" max="1801" width="10.7109375" style="160" customWidth="1"/>
    <col min="1802" max="1802" width="32.7109375" style="160" customWidth="1"/>
    <col min="1803" max="1805" width="22.7109375" style="160" customWidth="1"/>
    <col min="1806" max="1806" width="30.7109375" style="160" customWidth="1"/>
    <col min="1807" max="1807" width="2.7109375" style="160" customWidth="1"/>
    <col min="1808" max="1808" width="10.7109375" style="160" customWidth="1"/>
    <col min="1809" max="1809" width="32.7109375" style="160" customWidth="1"/>
    <col min="1810" max="1812" width="22.7109375" style="160" customWidth="1"/>
    <col min="1813" max="1813" width="30.7109375" style="160" customWidth="1"/>
    <col min="1814" max="1815" width="2.7109375" style="160" customWidth="1"/>
    <col min="1816" max="1816" width="10.7109375" style="160" customWidth="1"/>
    <col min="1817" max="1817" width="29.7109375" style="160" customWidth="1"/>
    <col min="1818" max="1820" width="22.7109375" style="160" customWidth="1"/>
    <col min="1821" max="1821" width="30.7109375" style="160" customWidth="1"/>
    <col min="1822" max="1822" width="2.7109375" style="160" customWidth="1"/>
    <col min="1823" max="1823" width="10.7109375" style="160" customWidth="1"/>
    <col min="1824" max="1824" width="29.7109375" style="160" customWidth="1"/>
    <col min="1825" max="1827" width="22.7109375" style="160" customWidth="1"/>
    <col min="1828" max="1828" width="30.7109375" style="160" customWidth="1"/>
    <col min="1829" max="1829" width="2.7109375" style="160" customWidth="1"/>
    <col min="1830" max="1830" width="10.7109375" style="160" customWidth="1"/>
    <col min="1831" max="1831" width="29.7109375" style="160" customWidth="1"/>
    <col min="1832" max="1834" width="22.7109375" style="160" customWidth="1"/>
    <col min="1835" max="1835" width="30.7109375" style="160" customWidth="1"/>
    <col min="1836" max="1837" width="2.7109375" style="160" customWidth="1"/>
    <col min="1838" max="1838" width="10.7109375" style="160" customWidth="1"/>
    <col min="1839" max="1839" width="29.7109375" style="160" customWidth="1"/>
    <col min="1840" max="1842" width="22.7109375" style="160" customWidth="1"/>
    <col min="1843" max="1843" width="30.7109375" style="160" customWidth="1"/>
    <col min="1844" max="1844" width="2.7109375" style="160" customWidth="1"/>
    <col min="1845" max="1845" width="10.7109375" style="160" customWidth="1"/>
    <col min="1846" max="1846" width="29.7109375" style="160" customWidth="1"/>
    <col min="1847" max="1849" width="22.7109375" style="160" customWidth="1"/>
    <col min="1850" max="1850" width="30.7109375" style="160" customWidth="1"/>
    <col min="1851" max="1851" width="2.7109375" style="160" customWidth="1"/>
    <col min="1852" max="1852" width="10.7109375" style="160" customWidth="1"/>
    <col min="1853" max="1853" width="29.7109375" style="160" customWidth="1"/>
    <col min="1854" max="1856" width="22.7109375" style="160" customWidth="1"/>
    <col min="1857" max="1857" width="30.7109375" style="160" customWidth="1"/>
    <col min="1858" max="2048" width="8.85546875" style="160"/>
    <col min="2049" max="2049" width="2.7109375" style="160" customWidth="1"/>
    <col min="2050" max="2050" width="10.7109375" style="160" customWidth="1"/>
    <col min="2051" max="2051" width="32.7109375" style="160" customWidth="1"/>
    <col min="2052" max="2054" width="22.7109375" style="160" customWidth="1"/>
    <col min="2055" max="2055" width="30.7109375" style="160" customWidth="1"/>
    <col min="2056" max="2056" width="2.7109375" style="160" customWidth="1"/>
    <col min="2057" max="2057" width="10.7109375" style="160" customWidth="1"/>
    <col min="2058" max="2058" width="32.7109375" style="160" customWidth="1"/>
    <col min="2059" max="2061" width="22.7109375" style="160" customWidth="1"/>
    <col min="2062" max="2062" width="30.7109375" style="160" customWidth="1"/>
    <col min="2063" max="2063" width="2.7109375" style="160" customWidth="1"/>
    <col min="2064" max="2064" width="10.7109375" style="160" customWidth="1"/>
    <col min="2065" max="2065" width="32.7109375" style="160" customWidth="1"/>
    <col min="2066" max="2068" width="22.7109375" style="160" customWidth="1"/>
    <col min="2069" max="2069" width="30.7109375" style="160" customWidth="1"/>
    <col min="2070" max="2071" width="2.7109375" style="160" customWidth="1"/>
    <col min="2072" max="2072" width="10.7109375" style="160" customWidth="1"/>
    <col min="2073" max="2073" width="29.7109375" style="160" customWidth="1"/>
    <col min="2074" max="2076" width="22.7109375" style="160" customWidth="1"/>
    <col min="2077" max="2077" width="30.7109375" style="160" customWidth="1"/>
    <col min="2078" max="2078" width="2.7109375" style="160" customWidth="1"/>
    <col min="2079" max="2079" width="10.7109375" style="160" customWidth="1"/>
    <col min="2080" max="2080" width="29.7109375" style="160" customWidth="1"/>
    <col min="2081" max="2083" width="22.7109375" style="160" customWidth="1"/>
    <col min="2084" max="2084" width="30.7109375" style="160" customWidth="1"/>
    <col min="2085" max="2085" width="2.7109375" style="160" customWidth="1"/>
    <col min="2086" max="2086" width="10.7109375" style="160" customWidth="1"/>
    <col min="2087" max="2087" width="29.7109375" style="160" customWidth="1"/>
    <col min="2088" max="2090" width="22.7109375" style="160" customWidth="1"/>
    <col min="2091" max="2091" width="30.7109375" style="160" customWidth="1"/>
    <col min="2092" max="2093" width="2.7109375" style="160" customWidth="1"/>
    <col min="2094" max="2094" width="10.7109375" style="160" customWidth="1"/>
    <col min="2095" max="2095" width="29.7109375" style="160" customWidth="1"/>
    <col min="2096" max="2098" width="22.7109375" style="160" customWidth="1"/>
    <col min="2099" max="2099" width="30.7109375" style="160" customWidth="1"/>
    <col min="2100" max="2100" width="2.7109375" style="160" customWidth="1"/>
    <col min="2101" max="2101" width="10.7109375" style="160" customWidth="1"/>
    <col min="2102" max="2102" width="29.7109375" style="160" customWidth="1"/>
    <col min="2103" max="2105" width="22.7109375" style="160" customWidth="1"/>
    <col min="2106" max="2106" width="30.7109375" style="160" customWidth="1"/>
    <col min="2107" max="2107" width="2.7109375" style="160" customWidth="1"/>
    <col min="2108" max="2108" width="10.7109375" style="160" customWidth="1"/>
    <col min="2109" max="2109" width="29.7109375" style="160" customWidth="1"/>
    <col min="2110" max="2112" width="22.7109375" style="160" customWidth="1"/>
    <col min="2113" max="2113" width="30.7109375" style="160" customWidth="1"/>
    <col min="2114" max="2304" width="8.85546875" style="160"/>
    <col min="2305" max="2305" width="2.7109375" style="160" customWidth="1"/>
    <col min="2306" max="2306" width="10.7109375" style="160" customWidth="1"/>
    <col min="2307" max="2307" width="32.7109375" style="160" customWidth="1"/>
    <col min="2308" max="2310" width="22.7109375" style="160" customWidth="1"/>
    <col min="2311" max="2311" width="30.7109375" style="160" customWidth="1"/>
    <col min="2312" max="2312" width="2.7109375" style="160" customWidth="1"/>
    <col min="2313" max="2313" width="10.7109375" style="160" customWidth="1"/>
    <col min="2314" max="2314" width="32.7109375" style="160" customWidth="1"/>
    <col min="2315" max="2317" width="22.7109375" style="160" customWidth="1"/>
    <col min="2318" max="2318" width="30.7109375" style="160" customWidth="1"/>
    <col min="2319" max="2319" width="2.7109375" style="160" customWidth="1"/>
    <col min="2320" max="2320" width="10.7109375" style="160" customWidth="1"/>
    <col min="2321" max="2321" width="32.7109375" style="160" customWidth="1"/>
    <col min="2322" max="2324" width="22.7109375" style="160" customWidth="1"/>
    <col min="2325" max="2325" width="30.7109375" style="160" customWidth="1"/>
    <col min="2326" max="2327" width="2.7109375" style="160" customWidth="1"/>
    <col min="2328" max="2328" width="10.7109375" style="160" customWidth="1"/>
    <col min="2329" max="2329" width="29.7109375" style="160" customWidth="1"/>
    <col min="2330" max="2332" width="22.7109375" style="160" customWidth="1"/>
    <col min="2333" max="2333" width="30.7109375" style="160" customWidth="1"/>
    <col min="2334" max="2334" width="2.7109375" style="160" customWidth="1"/>
    <col min="2335" max="2335" width="10.7109375" style="160" customWidth="1"/>
    <col min="2336" max="2336" width="29.7109375" style="160" customWidth="1"/>
    <col min="2337" max="2339" width="22.7109375" style="160" customWidth="1"/>
    <col min="2340" max="2340" width="30.7109375" style="160" customWidth="1"/>
    <col min="2341" max="2341" width="2.7109375" style="160" customWidth="1"/>
    <col min="2342" max="2342" width="10.7109375" style="160" customWidth="1"/>
    <col min="2343" max="2343" width="29.7109375" style="160" customWidth="1"/>
    <col min="2344" max="2346" width="22.7109375" style="160" customWidth="1"/>
    <col min="2347" max="2347" width="30.7109375" style="160" customWidth="1"/>
    <col min="2348" max="2349" width="2.7109375" style="160" customWidth="1"/>
    <col min="2350" max="2350" width="10.7109375" style="160" customWidth="1"/>
    <col min="2351" max="2351" width="29.7109375" style="160" customWidth="1"/>
    <col min="2352" max="2354" width="22.7109375" style="160" customWidth="1"/>
    <col min="2355" max="2355" width="30.7109375" style="160" customWidth="1"/>
    <col min="2356" max="2356" width="2.7109375" style="160" customWidth="1"/>
    <col min="2357" max="2357" width="10.7109375" style="160" customWidth="1"/>
    <col min="2358" max="2358" width="29.7109375" style="160" customWidth="1"/>
    <col min="2359" max="2361" width="22.7109375" style="160" customWidth="1"/>
    <col min="2362" max="2362" width="30.7109375" style="160" customWidth="1"/>
    <col min="2363" max="2363" width="2.7109375" style="160" customWidth="1"/>
    <col min="2364" max="2364" width="10.7109375" style="160" customWidth="1"/>
    <col min="2365" max="2365" width="29.7109375" style="160" customWidth="1"/>
    <col min="2366" max="2368" width="22.7109375" style="160" customWidth="1"/>
    <col min="2369" max="2369" width="30.7109375" style="160" customWidth="1"/>
    <col min="2370" max="2560" width="8.85546875" style="160"/>
    <col min="2561" max="2561" width="2.7109375" style="160" customWidth="1"/>
    <col min="2562" max="2562" width="10.7109375" style="160" customWidth="1"/>
    <col min="2563" max="2563" width="32.7109375" style="160" customWidth="1"/>
    <col min="2564" max="2566" width="22.7109375" style="160" customWidth="1"/>
    <col min="2567" max="2567" width="30.7109375" style="160" customWidth="1"/>
    <col min="2568" max="2568" width="2.7109375" style="160" customWidth="1"/>
    <col min="2569" max="2569" width="10.7109375" style="160" customWidth="1"/>
    <col min="2570" max="2570" width="32.7109375" style="160" customWidth="1"/>
    <col min="2571" max="2573" width="22.7109375" style="160" customWidth="1"/>
    <col min="2574" max="2574" width="30.7109375" style="160" customWidth="1"/>
    <col min="2575" max="2575" width="2.7109375" style="160" customWidth="1"/>
    <col min="2576" max="2576" width="10.7109375" style="160" customWidth="1"/>
    <col min="2577" max="2577" width="32.7109375" style="160" customWidth="1"/>
    <col min="2578" max="2580" width="22.7109375" style="160" customWidth="1"/>
    <col min="2581" max="2581" width="30.7109375" style="160" customWidth="1"/>
    <col min="2582" max="2583" width="2.7109375" style="160" customWidth="1"/>
    <col min="2584" max="2584" width="10.7109375" style="160" customWidth="1"/>
    <col min="2585" max="2585" width="29.7109375" style="160" customWidth="1"/>
    <col min="2586" max="2588" width="22.7109375" style="160" customWidth="1"/>
    <col min="2589" max="2589" width="30.7109375" style="160" customWidth="1"/>
    <col min="2590" max="2590" width="2.7109375" style="160" customWidth="1"/>
    <col min="2591" max="2591" width="10.7109375" style="160" customWidth="1"/>
    <col min="2592" max="2592" width="29.7109375" style="160" customWidth="1"/>
    <col min="2593" max="2595" width="22.7109375" style="160" customWidth="1"/>
    <col min="2596" max="2596" width="30.7109375" style="160" customWidth="1"/>
    <col min="2597" max="2597" width="2.7109375" style="160" customWidth="1"/>
    <col min="2598" max="2598" width="10.7109375" style="160" customWidth="1"/>
    <col min="2599" max="2599" width="29.7109375" style="160" customWidth="1"/>
    <col min="2600" max="2602" width="22.7109375" style="160" customWidth="1"/>
    <col min="2603" max="2603" width="30.7109375" style="160" customWidth="1"/>
    <col min="2604" max="2605" width="2.7109375" style="160" customWidth="1"/>
    <col min="2606" max="2606" width="10.7109375" style="160" customWidth="1"/>
    <col min="2607" max="2607" width="29.7109375" style="160" customWidth="1"/>
    <col min="2608" max="2610" width="22.7109375" style="160" customWidth="1"/>
    <col min="2611" max="2611" width="30.7109375" style="160" customWidth="1"/>
    <col min="2612" max="2612" width="2.7109375" style="160" customWidth="1"/>
    <col min="2613" max="2613" width="10.7109375" style="160" customWidth="1"/>
    <col min="2614" max="2614" width="29.7109375" style="160" customWidth="1"/>
    <col min="2615" max="2617" width="22.7109375" style="160" customWidth="1"/>
    <col min="2618" max="2618" width="30.7109375" style="160" customWidth="1"/>
    <col min="2619" max="2619" width="2.7109375" style="160" customWidth="1"/>
    <col min="2620" max="2620" width="10.7109375" style="160" customWidth="1"/>
    <col min="2621" max="2621" width="29.7109375" style="160" customWidth="1"/>
    <col min="2622" max="2624" width="22.7109375" style="160" customWidth="1"/>
    <col min="2625" max="2625" width="30.7109375" style="160" customWidth="1"/>
    <col min="2626" max="2816" width="8.85546875" style="160"/>
    <col min="2817" max="2817" width="2.7109375" style="160" customWidth="1"/>
    <col min="2818" max="2818" width="10.7109375" style="160" customWidth="1"/>
    <col min="2819" max="2819" width="32.7109375" style="160" customWidth="1"/>
    <col min="2820" max="2822" width="22.7109375" style="160" customWidth="1"/>
    <col min="2823" max="2823" width="30.7109375" style="160" customWidth="1"/>
    <col min="2824" max="2824" width="2.7109375" style="160" customWidth="1"/>
    <col min="2825" max="2825" width="10.7109375" style="160" customWidth="1"/>
    <col min="2826" max="2826" width="32.7109375" style="160" customWidth="1"/>
    <col min="2827" max="2829" width="22.7109375" style="160" customWidth="1"/>
    <col min="2830" max="2830" width="30.7109375" style="160" customWidth="1"/>
    <col min="2831" max="2831" width="2.7109375" style="160" customWidth="1"/>
    <col min="2832" max="2832" width="10.7109375" style="160" customWidth="1"/>
    <col min="2833" max="2833" width="32.7109375" style="160" customWidth="1"/>
    <col min="2834" max="2836" width="22.7109375" style="160" customWidth="1"/>
    <col min="2837" max="2837" width="30.7109375" style="160" customWidth="1"/>
    <col min="2838" max="2839" width="2.7109375" style="160" customWidth="1"/>
    <col min="2840" max="2840" width="10.7109375" style="160" customWidth="1"/>
    <col min="2841" max="2841" width="29.7109375" style="160" customWidth="1"/>
    <col min="2842" max="2844" width="22.7109375" style="160" customWidth="1"/>
    <col min="2845" max="2845" width="30.7109375" style="160" customWidth="1"/>
    <col min="2846" max="2846" width="2.7109375" style="160" customWidth="1"/>
    <col min="2847" max="2847" width="10.7109375" style="160" customWidth="1"/>
    <col min="2848" max="2848" width="29.7109375" style="160" customWidth="1"/>
    <col min="2849" max="2851" width="22.7109375" style="160" customWidth="1"/>
    <col min="2852" max="2852" width="30.7109375" style="160" customWidth="1"/>
    <col min="2853" max="2853" width="2.7109375" style="160" customWidth="1"/>
    <col min="2854" max="2854" width="10.7109375" style="160" customWidth="1"/>
    <col min="2855" max="2855" width="29.7109375" style="160" customWidth="1"/>
    <col min="2856" max="2858" width="22.7109375" style="160" customWidth="1"/>
    <col min="2859" max="2859" width="30.7109375" style="160" customWidth="1"/>
    <col min="2860" max="2861" width="2.7109375" style="160" customWidth="1"/>
    <col min="2862" max="2862" width="10.7109375" style="160" customWidth="1"/>
    <col min="2863" max="2863" width="29.7109375" style="160" customWidth="1"/>
    <col min="2864" max="2866" width="22.7109375" style="160" customWidth="1"/>
    <col min="2867" max="2867" width="30.7109375" style="160" customWidth="1"/>
    <col min="2868" max="2868" width="2.7109375" style="160" customWidth="1"/>
    <col min="2869" max="2869" width="10.7109375" style="160" customWidth="1"/>
    <col min="2870" max="2870" width="29.7109375" style="160" customWidth="1"/>
    <col min="2871" max="2873" width="22.7109375" style="160" customWidth="1"/>
    <col min="2874" max="2874" width="30.7109375" style="160" customWidth="1"/>
    <col min="2875" max="2875" width="2.7109375" style="160" customWidth="1"/>
    <col min="2876" max="2876" width="10.7109375" style="160" customWidth="1"/>
    <col min="2877" max="2877" width="29.7109375" style="160" customWidth="1"/>
    <col min="2878" max="2880" width="22.7109375" style="160" customWidth="1"/>
    <col min="2881" max="2881" width="30.7109375" style="160" customWidth="1"/>
    <col min="2882" max="3072" width="8.85546875" style="160"/>
    <col min="3073" max="3073" width="2.7109375" style="160" customWidth="1"/>
    <col min="3074" max="3074" width="10.7109375" style="160" customWidth="1"/>
    <col min="3075" max="3075" width="32.7109375" style="160" customWidth="1"/>
    <col min="3076" max="3078" width="22.7109375" style="160" customWidth="1"/>
    <col min="3079" max="3079" width="30.7109375" style="160" customWidth="1"/>
    <col min="3080" max="3080" width="2.7109375" style="160" customWidth="1"/>
    <col min="3081" max="3081" width="10.7109375" style="160" customWidth="1"/>
    <col min="3082" max="3082" width="32.7109375" style="160" customWidth="1"/>
    <col min="3083" max="3085" width="22.7109375" style="160" customWidth="1"/>
    <col min="3086" max="3086" width="30.7109375" style="160" customWidth="1"/>
    <col min="3087" max="3087" width="2.7109375" style="160" customWidth="1"/>
    <col min="3088" max="3088" width="10.7109375" style="160" customWidth="1"/>
    <col min="3089" max="3089" width="32.7109375" style="160" customWidth="1"/>
    <col min="3090" max="3092" width="22.7109375" style="160" customWidth="1"/>
    <col min="3093" max="3093" width="30.7109375" style="160" customWidth="1"/>
    <col min="3094" max="3095" width="2.7109375" style="160" customWidth="1"/>
    <col min="3096" max="3096" width="10.7109375" style="160" customWidth="1"/>
    <col min="3097" max="3097" width="29.7109375" style="160" customWidth="1"/>
    <col min="3098" max="3100" width="22.7109375" style="160" customWidth="1"/>
    <col min="3101" max="3101" width="30.7109375" style="160" customWidth="1"/>
    <col min="3102" max="3102" width="2.7109375" style="160" customWidth="1"/>
    <col min="3103" max="3103" width="10.7109375" style="160" customWidth="1"/>
    <col min="3104" max="3104" width="29.7109375" style="160" customWidth="1"/>
    <col min="3105" max="3107" width="22.7109375" style="160" customWidth="1"/>
    <col min="3108" max="3108" width="30.7109375" style="160" customWidth="1"/>
    <col min="3109" max="3109" width="2.7109375" style="160" customWidth="1"/>
    <col min="3110" max="3110" width="10.7109375" style="160" customWidth="1"/>
    <col min="3111" max="3111" width="29.7109375" style="160" customWidth="1"/>
    <col min="3112" max="3114" width="22.7109375" style="160" customWidth="1"/>
    <col min="3115" max="3115" width="30.7109375" style="160" customWidth="1"/>
    <col min="3116" max="3117" width="2.7109375" style="160" customWidth="1"/>
    <col min="3118" max="3118" width="10.7109375" style="160" customWidth="1"/>
    <col min="3119" max="3119" width="29.7109375" style="160" customWidth="1"/>
    <col min="3120" max="3122" width="22.7109375" style="160" customWidth="1"/>
    <col min="3123" max="3123" width="30.7109375" style="160" customWidth="1"/>
    <col min="3124" max="3124" width="2.7109375" style="160" customWidth="1"/>
    <col min="3125" max="3125" width="10.7109375" style="160" customWidth="1"/>
    <col min="3126" max="3126" width="29.7109375" style="160" customWidth="1"/>
    <col min="3127" max="3129" width="22.7109375" style="160" customWidth="1"/>
    <col min="3130" max="3130" width="30.7109375" style="160" customWidth="1"/>
    <col min="3131" max="3131" width="2.7109375" style="160" customWidth="1"/>
    <col min="3132" max="3132" width="10.7109375" style="160" customWidth="1"/>
    <col min="3133" max="3133" width="29.7109375" style="160" customWidth="1"/>
    <col min="3134" max="3136" width="22.7109375" style="160" customWidth="1"/>
    <col min="3137" max="3137" width="30.7109375" style="160" customWidth="1"/>
    <col min="3138" max="3328" width="8.85546875" style="160"/>
    <col min="3329" max="3329" width="2.7109375" style="160" customWidth="1"/>
    <col min="3330" max="3330" width="10.7109375" style="160" customWidth="1"/>
    <col min="3331" max="3331" width="32.7109375" style="160" customWidth="1"/>
    <col min="3332" max="3334" width="22.7109375" style="160" customWidth="1"/>
    <col min="3335" max="3335" width="30.7109375" style="160" customWidth="1"/>
    <col min="3336" max="3336" width="2.7109375" style="160" customWidth="1"/>
    <col min="3337" max="3337" width="10.7109375" style="160" customWidth="1"/>
    <col min="3338" max="3338" width="32.7109375" style="160" customWidth="1"/>
    <col min="3339" max="3341" width="22.7109375" style="160" customWidth="1"/>
    <col min="3342" max="3342" width="30.7109375" style="160" customWidth="1"/>
    <col min="3343" max="3343" width="2.7109375" style="160" customWidth="1"/>
    <col min="3344" max="3344" width="10.7109375" style="160" customWidth="1"/>
    <col min="3345" max="3345" width="32.7109375" style="160" customWidth="1"/>
    <col min="3346" max="3348" width="22.7109375" style="160" customWidth="1"/>
    <col min="3349" max="3349" width="30.7109375" style="160" customWidth="1"/>
    <col min="3350" max="3351" width="2.7109375" style="160" customWidth="1"/>
    <col min="3352" max="3352" width="10.7109375" style="160" customWidth="1"/>
    <col min="3353" max="3353" width="29.7109375" style="160" customWidth="1"/>
    <col min="3354" max="3356" width="22.7109375" style="160" customWidth="1"/>
    <col min="3357" max="3357" width="30.7109375" style="160" customWidth="1"/>
    <col min="3358" max="3358" width="2.7109375" style="160" customWidth="1"/>
    <col min="3359" max="3359" width="10.7109375" style="160" customWidth="1"/>
    <col min="3360" max="3360" width="29.7109375" style="160" customWidth="1"/>
    <col min="3361" max="3363" width="22.7109375" style="160" customWidth="1"/>
    <col min="3364" max="3364" width="30.7109375" style="160" customWidth="1"/>
    <col min="3365" max="3365" width="2.7109375" style="160" customWidth="1"/>
    <col min="3366" max="3366" width="10.7109375" style="160" customWidth="1"/>
    <col min="3367" max="3367" width="29.7109375" style="160" customWidth="1"/>
    <col min="3368" max="3370" width="22.7109375" style="160" customWidth="1"/>
    <col min="3371" max="3371" width="30.7109375" style="160" customWidth="1"/>
    <col min="3372" max="3373" width="2.7109375" style="160" customWidth="1"/>
    <col min="3374" max="3374" width="10.7109375" style="160" customWidth="1"/>
    <col min="3375" max="3375" width="29.7109375" style="160" customWidth="1"/>
    <col min="3376" max="3378" width="22.7109375" style="160" customWidth="1"/>
    <col min="3379" max="3379" width="30.7109375" style="160" customWidth="1"/>
    <col min="3380" max="3380" width="2.7109375" style="160" customWidth="1"/>
    <col min="3381" max="3381" width="10.7109375" style="160" customWidth="1"/>
    <col min="3382" max="3382" width="29.7109375" style="160" customWidth="1"/>
    <col min="3383" max="3385" width="22.7109375" style="160" customWidth="1"/>
    <col min="3386" max="3386" width="30.7109375" style="160" customWidth="1"/>
    <col min="3387" max="3387" width="2.7109375" style="160" customWidth="1"/>
    <col min="3388" max="3388" width="10.7109375" style="160" customWidth="1"/>
    <col min="3389" max="3389" width="29.7109375" style="160" customWidth="1"/>
    <col min="3390" max="3392" width="22.7109375" style="160" customWidth="1"/>
    <col min="3393" max="3393" width="30.7109375" style="160" customWidth="1"/>
    <col min="3394" max="3584" width="8.85546875" style="160"/>
    <col min="3585" max="3585" width="2.7109375" style="160" customWidth="1"/>
    <col min="3586" max="3586" width="10.7109375" style="160" customWidth="1"/>
    <col min="3587" max="3587" width="32.7109375" style="160" customWidth="1"/>
    <col min="3588" max="3590" width="22.7109375" style="160" customWidth="1"/>
    <col min="3591" max="3591" width="30.7109375" style="160" customWidth="1"/>
    <col min="3592" max="3592" width="2.7109375" style="160" customWidth="1"/>
    <col min="3593" max="3593" width="10.7109375" style="160" customWidth="1"/>
    <col min="3594" max="3594" width="32.7109375" style="160" customWidth="1"/>
    <col min="3595" max="3597" width="22.7109375" style="160" customWidth="1"/>
    <col min="3598" max="3598" width="30.7109375" style="160" customWidth="1"/>
    <col min="3599" max="3599" width="2.7109375" style="160" customWidth="1"/>
    <col min="3600" max="3600" width="10.7109375" style="160" customWidth="1"/>
    <col min="3601" max="3601" width="32.7109375" style="160" customWidth="1"/>
    <col min="3602" max="3604" width="22.7109375" style="160" customWidth="1"/>
    <col min="3605" max="3605" width="30.7109375" style="160" customWidth="1"/>
    <col min="3606" max="3607" width="2.7109375" style="160" customWidth="1"/>
    <col min="3608" max="3608" width="10.7109375" style="160" customWidth="1"/>
    <col min="3609" max="3609" width="29.7109375" style="160" customWidth="1"/>
    <col min="3610" max="3612" width="22.7109375" style="160" customWidth="1"/>
    <col min="3613" max="3613" width="30.7109375" style="160" customWidth="1"/>
    <col min="3614" max="3614" width="2.7109375" style="160" customWidth="1"/>
    <col min="3615" max="3615" width="10.7109375" style="160" customWidth="1"/>
    <col min="3616" max="3616" width="29.7109375" style="160" customWidth="1"/>
    <col min="3617" max="3619" width="22.7109375" style="160" customWidth="1"/>
    <col min="3620" max="3620" width="30.7109375" style="160" customWidth="1"/>
    <col min="3621" max="3621" width="2.7109375" style="160" customWidth="1"/>
    <col min="3622" max="3622" width="10.7109375" style="160" customWidth="1"/>
    <col min="3623" max="3623" width="29.7109375" style="160" customWidth="1"/>
    <col min="3624" max="3626" width="22.7109375" style="160" customWidth="1"/>
    <col min="3627" max="3627" width="30.7109375" style="160" customWidth="1"/>
    <col min="3628" max="3629" width="2.7109375" style="160" customWidth="1"/>
    <col min="3630" max="3630" width="10.7109375" style="160" customWidth="1"/>
    <col min="3631" max="3631" width="29.7109375" style="160" customWidth="1"/>
    <col min="3632" max="3634" width="22.7109375" style="160" customWidth="1"/>
    <col min="3635" max="3635" width="30.7109375" style="160" customWidth="1"/>
    <col min="3636" max="3636" width="2.7109375" style="160" customWidth="1"/>
    <col min="3637" max="3637" width="10.7109375" style="160" customWidth="1"/>
    <col min="3638" max="3638" width="29.7109375" style="160" customWidth="1"/>
    <col min="3639" max="3641" width="22.7109375" style="160" customWidth="1"/>
    <col min="3642" max="3642" width="30.7109375" style="160" customWidth="1"/>
    <col min="3643" max="3643" width="2.7109375" style="160" customWidth="1"/>
    <col min="3644" max="3644" width="10.7109375" style="160" customWidth="1"/>
    <col min="3645" max="3645" width="29.7109375" style="160" customWidth="1"/>
    <col min="3646" max="3648" width="22.7109375" style="160" customWidth="1"/>
    <col min="3649" max="3649" width="30.7109375" style="160" customWidth="1"/>
    <col min="3650" max="3840" width="8.85546875" style="160"/>
    <col min="3841" max="3841" width="2.7109375" style="160" customWidth="1"/>
    <col min="3842" max="3842" width="10.7109375" style="160" customWidth="1"/>
    <col min="3843" max="3843" width="32.7109375" style="160" customWidth="1"/>
    <col min="3844" max="3846" width="22.7109375" style="160" customWidth="1"/>
    <col min="3847" max="3847" width="30.7109375" style="160" customWidth="1"/>
    <col min="3848" max="3848" width="2.7109375" style="160" customWidth="1"/>
    <col min="3849" max="3849" width="10.7109375" style="160" customWidth="1"/>
    <col min="3850" max="3850" width="32.7109375" style="160" customWidth="1"/>
    <col min="3851" max="3853" width="22.7109375" style="160" customWidth="1"/>
    <col min="3854" max="3854" width="30.7109375" style="160" customWidth="1"/>
    <col min="3855" max="3855" width="2.7109375" style="160" customWidth="1"/>
    <col min="3856" max="3856" width="10.7109375" style="160" customWidth="1"/>
    <col min="3857" max="3857" width="32.7109375" style="160" customWidth="1"/>
    <col min="3858" max="3860" width="22.7109375" style="160" customWidth="1"/>
    <col min="3861" max="3861" width="30.7109375" style="160" customWidth="1"/>
    <col min="3862" max="3863" width="2.7109375" style="160" customWidth="1"/>
    <col min="3864" max="3864" width="10.7109375" style="160" customWidth="1"/>
    <col min="3865" max="3865" width="29.7109375" style="160" customWidth="1"/>
    <col min="3866" max="3868" width="22.7109375" style="160" customWidth="1"/>
    <col min="3869" max="3869" width="30.7109375" style="160" customWidth="1"/>
    <col min="3870" max="3870" width="2.7109375" style="160" customWidth="1"/>
    <col min="3871" max="3871" width="10.7109375" style="160" customWidth="1"/>
    <col min="3872" max="3872" width="29.7109375" style="160" customWidth="1"/>
    <col min="3873" max="3875" width="22.7109375" style="160" customWidth="1"/>
    <col min="3876" max="3876" width="30.7109375" style="160" customWidth="1"/>
    <col min="3877" max="3877" width="2.7109375" style="160" customWidth="1"/>
    <col min="3878" max="3878" width="10.7109375" style="160" customWidth="1"/>
    <col min="3879" max="3879" width="29.7109375" style="160" customWidth="1"/>
    <col min="3880" max="3882" width="22.7109375" style="160" customWidth="1"/>
    <col min="3883" max="3883" width="30.7109375" style="160" customWidth="1"/>
    <col min="3884" max="3885" width="2.7109375" style="160" customWidth="1"/>
    <col min="3886" max="3886" width="10.7109375" style="160" customWidth="1"/>
    <col min="3887" max="3887" width="29.7109375" style="160" customWidth="1"/>
    <col min="3888" max="3890" width="22.7109375" style="160" customWidth="1"/>
    <col min="3891" max="3891" width="30.7109375" style="160" customWidth="1"/>
    <col min="3892" max="3892" width="2.7109375" style="160" customWidth="1"/>
    <col min="3893" max="3893" width="10.7109375" style="160" customWidth="1"/>
    <col min="3894" max="3894" width="29.7109375" style="160" customWidth="1"/>
    <col min="3895" max="3897" width="22.7109375" style="160" customWidth="1"/>
    <col min="3898" max="3898" width="30.7109375" style="160" customWidth="1"/>
    <col min="3899" max="3899" width="2.7109375" style="160" customWidth="1"/>
    <col min="3900" max="3900" width="10.7109375" style="160" customWidth="1"/>
    <col min="3901" max="3901" width="29.7109375" style="160" customWidth="1"/>
    <col min="3902" max="3904" width="22.7109375" style="160" customWidth="1"/>
    <col min="3905" max="3905" width="30.7109375" style="160" customWidth="1"/>
    <col min="3906" max="4096" width="8.85546875" style="160"/>
    <col min="4097" max="4097" width="2.7109375" style="160" customWidth="1"/>
    <col min="4098" max="4098" width="10.7109375" style="160" customWidth="1"/>
    <col min="4099" max="4099" width="32.7109375" style="160" customWidth="1"/>
    <col min="4100" max="4102" width="22.7109375" style="160" customWidth="1"/>
    <col min="4103" max="4103" width="30.7109375" style="160" customWidth="1"/>
    <col min="4104" max="4104" width="2.7109375" style="160" customWidth="1"/>
    <col min="4105" max="4105" width="10.7109375" style="160" customWidth="1"/>
    <col min="4106" max="4106" width="32.7109375" style="160" customWidth="1"/>
    <col min="4107" max="4109" width="22.7109375" style="160" customWidth="1"/>
    <col min="4110" max="4110" width="30.7109375" style="160" customWidth="1"/>
    <col min="4111" max="4111" width="2.7109375" style="160" customWidth="1"/>
    <col min="4112" max="4112" width="10.7109375" style="160" customWidth="1"/>
    <col min="4113" max="4113" width="32.7109375" style="160" customWidth="1"/>
    <col min="4114" max="4116" width="22.7109375" style="160" customWidth="1"/>
    <col min="4117" max="4117" width="30.7109375" style="160" customWidth="1"/>
    <col min="4118" max="4119" width="2.7109375" style="160" customWidth="1"/>
    <col min="4120" max="4120" width="10.7109375" style="160" customWidth="1"/>
    <col min="4121" max="4121" width="29.7109375" style="160" customWidth="1"/>
    <col min="4122" max="4124" width="22.7109375" style="160" customWidth="1"/>
    <col min="4125" max="4125" width="30.7109375" style="160" customWidth="1"/>
    <col min="4126" max="4126" width="2.7109375" style="160" customWidth="1"/>
    <col min="4127" max="4127" width="10.7109375" style="160" customWidth="1"/>
    <col min="4128" max="4128" width="29.7109375" style="160" customWidth="1"/>
    <col min="4129" max="4131" width="22.7109375" style="160" customWidth="1"/>
    <col min="4132" max="4132" width="30.7109375" style="160" customWidth="1"/>
    <col min="4133" max="4133" width="2.7109375" style="160" customWidth="1"/>
    <col min="4134" max="4134" width="10.7109375" style="160" customWidth="1"/>
    <col min="4135" max="4135" width="29.7109375" style="160" customWidth="1"/>
    <col min="4136" max="4138" width="22.7109375" style="160" customWidth="1"/>
    <col min="4139" max="4139" width="30.7109375" style="160" customWidth="1"/>
    <col min="4140" max="4141" width="2.7109375" style="160" customWidth="1"/>
    <col min="4142" max="4142" width="10.7109375" style="160" customWidth="1"/>
    <col min="4143" max="4143" width="29.7109375" style="160" customWidth="1"/>
    <col min="4144" max="4146" width="22.7109375" style="160" customWidth="1"/>
    <col min="4147" max="4147" width="30.7109375" style="160" customWidth="1"/>
    <col min="4148" max="4148" width="2.7109375" style="160" customWidth="1"/>
    <col min="4149" max="4149" width="10.7109375" style="160" customWidth="1"/>
    <col min="4150" max="4150" width="29.7109375" style="160" customWidth="1"/>
    <col min="4151" max="4153" width="22.7109375" style="160" customWidth="1"/>
    <col min="4154" max="4154" width="30.7109375" style="160" customWidth="1"/>
    <col min="4155" max="4155" width="2.7109375" style="160" customWidth="1"/>
    <col min="4156" max="4156" width="10.7109375" style="160" customWidth="1"/>
    <col min="4157" max="4157" width="29.7109375" style="160" customWidth="1"/>
    <col min="4158" max="4160" width="22.7109375" style="160" customWidth="1"/>
    <col min="4161" max="4161" width="30.7109375" style="160" customWidth="1"/>
    <col min="4162" max="4352" width="8.85546875" style="160"/>
    <col min="4353" max="4353" width="2.7109375" style="160" customWidth="1"/>
    <col min="4354" max="4354" width="10.7109375" style="160" customWidth="1"/>
    <col min="4355" max="4355" width="32.7109375" style="160" customWidth="1"/>
    <col min="4356" max="4358" width="22.7109375" style="160" customWidth="1"/>
    <col min="4359" max="4359" width="30.7109375" style="160" customWidth="1"/>
    <col min="4360" max="4360" width="2.7109375" style="160" customWidth="1"/>
    <col min="4361" max="4361" width="10.7109375" style="160" customWidth="1"/>
    <col min="4362" max="4362" width="32.7109375" style="160" customWidth="1"/>
    <col min="4363" max="4365" width="22.7109375" style="160" customWidth="1"/>
    <col min="4366" max="4366" width="30.7109375" style="160" customWidth="1"/>
    <col min="4367" max="4367" width="2.7109375" style="160" customWidth="1"/>
    <col min="4368" max="4368" width="10.7109375" style="160" customWidth="1"/>
    <col min="4369" max="4369" width="32.7109375" style="160" customWidth="1"/>
    <col min="4370" max="4372" width="22.7109375" style="160" customWidth="1"/>
    <col min="4373" max="4373" width="30.7109375" style="160" customWidth="1"/>
    <col min="4374" max="4375" width="2.7109375" style="160" customWidth="1"/>
    <col min="4376" max="4376" width="10.7109375" style="160" customWidth="1"/>
    <col min="4377" max="4377" width="29.7109375" style="160" customWidth="1"/>
    <col min="4378" max="4380" width="22.7109375" style="160" customWidth="1"/>
    <col min="4381" max="4381" width="30.7109375" style="160" customWidth="1"/>
    <col min="4382" max="4382" width="2.7109375" style="160" customWidth="1"/>
    <col min="4383" max="4383" width="10.7109375" style="160" customWidth="1"/>
    <col min="4384" max="4384" width="29.7109375" style="160" customWidth="1"/>
    <col min="4385" max="4387" width="22.7109375" style="160" customWidth="1"/>
    <col min="4388" max="4388" width="30.7109375" style="160" customWidth="1"/>
    <col min="4389" max="4389" width="2.7109375" style="160" customWidth="1"/>
    <col min="4390" max="4390" width="10.7109375" style="160" customWidth="1"/>
    <col min="4391" max="4391" width="29.7109375" style="160" customWidth="1"/>
    <col min="4392" max="4394" width="22.7109375" style="160" customWidth="1"/>
    <col min="4395" max="4395" width="30.7109375" style="160" customWidth="1"/>
    <col min="4396" max="4397" width="2.7109375" style="160" customWidth="1"/>
    <col min="4398" max="4398" width="10.7109375" style="160" customWidth="1"/>
    <col min="4399" max="4399" width="29.7109375" style="160" customWidth="1"/>
    <col min="4400" max="4402" width="22.7109375" style="160" customWidth="1"/>
    <col min="4403" max="4403" width="30.7109375" style="160" customWidth="1"/>
    <col min="4404" max="4404" width="2.7109375" style="160" customWidth="1"/>
    <col min="4405" max="4405" width="10.7109375" style="160" customWidth="1"/>
    <col min="4406" max="4406" width="29.7109375" style="160" customWidth="1"/>
    <col min="4407" max="4409" width="22.7109375" style="160" customWidth="1"/>
    <col min="4410" max="4410" width="30.7109375" style="160" customWidth="1"/>
    <col min="4411" max="4411" width="2.7109375" style="160" customWidth="1"/>
    <col min="4412" max="4412" width="10.7109375" style="160" customWidth="1"/>
    <col min="4413" max="4413" width="29.7109375" style="160" customWidth="1"/>
    <col min="4414" max="4416" width="22.7109375" style="160" customWidth="1"/>
    <col min="4417" max="4417" width="30.7109375" style="160" customWidth="1"/>
    <col min="4418" max="4608" width="8.85546875" style="160"/>
    <col min="4609" max="4609" width="2.7109375" style="160" customWidth="1"/>
    <col min="4610" max="4610" width="10.7109375" style="160" customWidth="1"/>
    <col min="4611" max="4611" width="32.7109375" style="160" customWidth="1"/>
    <col min="4612" max="4614" width="22.7109375" style="160" customWidth="1"/>
    <col min="4615" max="4615" width="30.7109375" style="160" customWidth="1"/>
    <col min="4616" max="4616" width="2.7109375" style="160" customWidth="1"/>
    <col min="4617" max="4617" width="10.7109375" style="160" customWidth="1"/>
    <col min="4618" max="4618" width="32.7109375" style="160" customWidth="1"/>
    <col min="4619" max="4621" width="22.7109375" style="160" customWidth="1"/>
    <col min="4622" max="4622" width="30.7109375" style="160" customWidth="1"/>
    <col min="4623" max="4623" width="2.7109375" style="160" customWidth="1"/>
    <col min="4624" max="4624" width="10.7109375" style="160" customWidth="1"/>
    <col min="4625" max="4625" width="32.7109375" style="160" customWidth="1"/>
    <col min="4626" max="4628" width="22.7109375" style="160" customWidth="1"/>
    <col min="4629" max="4629" width="30.7109375" style="160" customWidth="1"/>
    <col min="4630" max="4631" width="2.7109375" style="160" customWidth="1"/>
    <col min="4632" max="4632" width="10.7109375" style="160" customWidth="1"/>
    <col min="4633" max="4633" width="29.7109375" style="160" customWidth="1"/>
    <col min="4634" max="4636" width="22.7109375" style="160" customWidth="1"/>
    <col min="4637" max="4637" width="30.7109375" style="160" customWidth="1"/>
    <col min="4638" max="4638" width="2.7109375" style="160" customWidth="1"/>
    <col min="4639" max="4639" width="10.7109375" style="160" customWidth="1"/>
    <col min="4640" max="4640" width="29.7109375" style="160" customWidth="1"/>
    <col min="4641" max="4643" width="22.7109375" style="160" customWidth="1"/>
    <col min="4644" max="4644" width="30.7109375" style="160" customWidth="1"/>
    <col min="4645" max="4645" width="2.7109375" style="160" customWidth="1"/>
    <col min="4646" max="4646" width="10.7109375" style="160" customWidth="1"/>
    <col min="4647" max="4647" width="29.7109375" style="160" customWidth="1"/>
    <col min="4648" max="4650" width="22.7109375" style="160" customWidth="1"/>
    <col min="4651" max="4651" width="30.7109375" style="160" customWidth="1"/>
    <col min="4652" max="4653" width="2.7109375" style="160" customWidth="1"/>
    <col min="4654" max="4654" width="10.7109375" style="160" customWidth="1"/>
    <col min="4655" max="4655" width="29.7109375" style="160" customWidth="1"/>
    <col min="4656" max="4658" width="22.7109375" style="160" customWidth="1"/>
    <col min="4659" max="4659" width="30.7109375" style="160" customWidth="1"/>
    <col min="4660" max="4660" width="2.7109375" style="160" customWidth="1"/>
    <col min="4661" max="4661" width="10.7109375" style="160" customWidth="1"/>
    <col min="4662" max="4662" width="29.7109375" style="160" customWidth="1"/>
    <col min="4663" max="4665" width="22.7109375" style="160" customWidth="1"/>
    <col min="4666" max="4666" width="30.7109375" style="160" customWidth="1"/>
    <col min="4667" max="4667" width="2.7109375" style="160" customWidth="1"/>
    <col min="4668" max="4668" width="10.7109375" style="160" customWidth="1"/>
    <col min="4669" max="4669" width="29.7109375" style="160" customWidth="1"/>
    <col min="4670" max="4672" width="22.7109375" style="160" customWidth="1"/>
    <col min="4673" max="4673" width="30.7109375" style="160" customWidth="1"/>
    <col min="4674" max="4864" width="8.85546875" style="160"/>
    <col min="4865" max="4865" width="2.7109375" style="160" customWidth="1"/>
    <col min="4866" max="4866" width="10.7109375" style="160" customWidth="1"/>
    <col min="4867" max="4867" width="32.7109375" style="160" customWidth="1"/>
    <col min="4868" max="4870" width="22.7109375" style="160" customWidth="1"/>
    <col min="4871" max="4871" width="30.7109375" style="160" customWidth="1"/>
    <col min="4872" max="4872" width="2.7109375" style="160" customWidth="1"/>
    <col min="4873" max="4873" width="10.7109375" style="160" customWidth="1"/>
    <col min="4874" max="4874" width="32.7109375" style="160" customWidth="1"/>
    <col min="4875" max="4877" width="22.7109375" style="160" customWidth="1"/>
    <col min="4878" max="4878" width="30.7109375" style="160" customWidth="1"/>
    <col min="4879" max="4879" width="2.7109375" style="160" customWidth="1"/>
    <col min="4880" max="4880" width="10.7109375" style="160" customWidth="1"/>
    <col min="4881" max="4881" width="32.7109375" style="160" customWidth="1"/>
    <col min="4882" max="4884" width="22.7109375" style="160" customWidth="1"/>
    <col min="4885" max="4885" width="30.7109375" style="160" customWidth="1"/>
    <col min="4886" max="4887" width="2.7109375" style="160" customWidth="1"/>
    <col min="4888" max="4888" width="10.7109375" style="160" customWidth="1"/>
    <col min="4889" max="4889" width="29.7109375" style="160" customWidth="1"/>
    <col min="4890" max="4892" width="22.7109375" style="160" customWidth="1"/>
    <col min="4893" max="4893" width="30.7109375" style="160" customWidth="1"/>
    <col min="4894" max="4894" width="2.7109375" style="160" customWidth="1"/>
    <col min="4895" max="4895" width="10.7109375" style="160" customWidth="1"/>
    <col min="4896" max="4896" width="29.7109375" style="160" customWidth="1"/>
    <col min="4897" max="4899" width="22.7109375" style="160" customWidth="1"/>
    <col min="4900" max="4900" width="30.7109375" style="160" customWidth="1"/>
    <col min="4901" max="4901" width="2.7109375" style="160" customWidth="1"/>
    <col min="4902" max="4902" width="10.7109375" style="160" customWidth="1"/>
    <col min="4903" max="4903" width="29.7109375" style="160" customWidth="1"/>
    <col min="4904" max="4906" width="22.7109375" style="160" customWidth="1"/>
    <col min="4907" max="4907" width="30.7109375" style="160" customWidth="1"/>
    <col min="4908" max="4909" width="2.7109375" style="160" customWidth="1"/>
    <col min="4910" max="4910" width="10.7109375" style="160" customWidth="1"/>
    <col min="4911" max="4911" width="29.7109375" style="160" customWidth="1"/>
    <col min="4912" max="4914" width="22.7109375" style="160" customWidth="1"/>
    <col min="4915" max="4915" width="30.7109375" style="160" customWidth="1"/>
    <col min="4916" max="4916" width="2.7109375" style="160" customWidth="1"/>
    <col min="4917" max="4917" width="10.7109375" style="160" customWidth="1"/>
    <col min="4918" max="4918" width="29.7109375" style="160" customWidth="1"/>
    <col min="4919" max="4921" width="22.7109375" style="160" customWidth="1"/>
    <col min="4922" max="4922" width="30.7109375" style="160" customWidth="1"/>
    <col min="4923" max="4923" width="2.7109375" style="160" customWidth="1"/>
    <col min="4924" max="4924" width="10.7109375" style="160" customWidth="1"/>
    <col min="4925" max="4925" width="29.7109375" style="160" customWidth="1"/>
    <col min="4926" max="4928" width="22.7109375" style="160" customWidth="1"/>
    <col min="4929" max="4929" width="30.7109375" style="160" customWidth="1"/>
    <col min="4930" max="5120" width="8.85546875" style="160"/>
    <col min="5121" max="5121" width="2.7109375" style="160" customWidth="1"/>
    <col min="5122" max="5122" width="10.7109375" style="160" customWidth="1"/>
    <col min="5123" max="5123" width="32.7109375" style="160" customWidth="1"/>
    <col min="5124" max="5126" width="22.7109375" style="160" customWidth="1"/>
    <col min="5127" max="5127" width="30.7109375" style="160" customWidth="1"/>
    <col min="5128" max="5128" width="2.7109375" style="160" customWidth="1"/>
    <col min="5129" max="5129" width="10.7109375" style="160" customWidth="1"/>
    <col min="5130" max="5130" width="32.7109375" style="160" customWidth="1"/>
    <col min="5131" max="5133" width="22.7109375" style="160" customWidth="1"/>
    <col min="5134" max="5134" width="30.7109375" style="160" customWidth="1"/>
    <col min="5135" max="5135" width="2.7109375" style="160" customWidth="1"/>
    <col min="5136" max="5136" width="10.7109375" style="160" customWidth="1"/>
    <col min="5137" max="5137" width="32.7109375" style="160" customWidth="1"/>
    <col min="5138" max="5140" width="22.7109375" style="160" customWidth="1"/>
    <col min="5141" max="5141" width="30.7109375" style="160" customWidth="1"/>
    <col min="5142" max="5143" width="2.7109375" style="160" customWidth="1"/>
    <col min="5144" max="5144" width="10.7109375" style="160" customWidth="1"/>
    <col min="5145" max="5145" width="29.7109375" style="160" customWidth="1"/>
    <col min="5146" max="5148" width="22.7109375" style="160" customWidth="1"/>
    <col min="5149" max="5149" width="30.7109375" style="160" customWidth="1"/>
    <col min="5150" max="5150" width="2.7109375" style="160" customWidth="1"/>
    <col min="5151" max="5151" width="10.7109375" style="160" customWidth="1"/>
    <col min="5152" max="5152" width="29.7109375" style="160" customWidth="1"/>
    <col min="5153" max="5155" width="22.7109375" style="160" customWidth="1"/>
    <col min="5156" max="5156" width="30.7109375" style="160" customWidth="1"/>
    <col min="5157" max="5157" width="2.7109375" style="160" customWidth="1"/>
    <col min="5158" max="5158" width="10.7109375" style="160" customWidth="1"/>
    <col min="5159" max="5159" width="29.7109375" style="160" customWidth="1"/>
    <col min="5160" max="5162" width="22.7109375" style="160" customWidth="1"/>
    <col min="5163" max="5163" width="30.7109375" style="160" customWidth="1"/>
    <col min="5164" max="5165" width="2.7109375" style="160" customWidth="1"/>
    <col min="5166" max="5166" width="10.7109375" style="160" customWidth="1"/>
    <col min="5167" max="5167" width="29.7109375" style="160" customWidth="1"/>
    <col min="5168" max="5170" width="22.7109375" style="160" customWidth="1"/>
    <col min="5171" max="5171" width="30.7109375" style="160" customWidth="1"/>
    <col min="5172" max="5172" width="2.7109375" style="160" customWidth="1"/>
    <col min="5173" max="5173" width="10.7109375" style="160" customWidth="1"/>
    <col min="5174" max="5174" width="29.7109375" style="160" customWidth="1"/>
    <col min="5175" max="5177" width="22.7109375" style="160" customWidth="1"/>
    <col min="5178" max="5178" width="30.7109375" style="160" customWidth="1"/>
    <col min="5179" max="5179" width="2.7109375" style="160" customWidth="1"/>
    <col min="5180" max="5180" width="10.7109375" style="160" customWidth="1"/>
    <col min="5181" max="5181" width="29.7109375" style="160" customWidth="1"/>
    <col min="5182" max="5184" width="22.7109375" style="160" customWidth="1"/>
    <col min="5185" max="5185" width="30.7109375" style="160" customWidth="1"/>
    <col min="5186" max="5376" width="8.85546875" style="160"/>
    <col min="5377" max="5377" width="2.7109375" style="160" customWidth="1"/>
    <col min="5378" max="5378" width="10.7109375" style="160" customWidth="1"/>
    <col min="5379" max="5379" width="32.7109375" style="160" customWidth="1"/>
    <col min="5380" max="5382" width="22.7109375" style="160" customWidth="1"/>
    <col min="5383" max="5383" width="30.7109375" style="160" customWidth="1"/>
    <col min="5384" max="5384" width="2.7109375" style="160" customWidth="1"/>
    <col min="5385" max="5385" width="10.7109375" style="160" customWidth="1"/>
    <col min="5386" max="5386" width="32.7109375" style="160" customWidth="1"/>
    <col min="5387" max="5389" width="22.7109375" style="160" customWidth="1"/>
    <col min="5390" max="5390" width="30.7109375" style="160" customWidth="1"/>
    <col min="5391" max="5391" width="2.7109375" style="160" customWidth="1"/>
    <col min="5392" max="5392" width="10.7109375" style="160" customWidth="1"/>
    <col min="5393" max="5393" width="32.7109375" style="160" customWidth="1"/>
    <col min="5394" max="5396" width="22.7109375" style="160" customWidth="1"/>
    <col min="5397" max="5397" width="30.7109375" style="160" customWidth="1"/>
    <col min="5398" max="5399" width="2.7109375" style="160" customWidth="1"/>
    <col min="5400" max="5400" width="10.7109375" style="160" customWidth="1"/>
    <col min="5401" max="5401" width="29.7109375" style="160" customWidth="1"/>
    <col min="5402" max="5404" width="22.7109375" style="160" customWidth="1"/>
    <col min="5405" max="5405" width="30.7109375" style="160" customWidth="1"/>
    <col min="5406" max="5406" width="2.7109375" style="160" customWidth="1"/>
    <col min="5407" max="5407" width="10.7109375" style="160" customWidth="1"/>
    <col min="5408" max="5408" width="29.7109375" style="160" customWidth="1"/>
    <col min="5409" max="5411" width="22.7109375" style="160" customWidth="1"/>
    <col min="5412" max="5412" width="30.7109375" style="160" customWidth="1"/>
    <col min="5413" max="5413" width="2.7109375" style="160" customWidth="1"/>
    <col min="5414" max="5414" width="10.7109375" style="160" customWidth="1"/>
    <col min="5415" max="5415" width="29.7109375" style="160" customWidth="1"/>
    <col min="5416" max="5418" width="22.7109375" style="160" customWidth="1"/>
    <col min="5419" max="5419" width="30.7109375" style="160" customWidth="1"/>
    <col min="5420" max="5421" width="2.7109375" style="160" customWidth="1"/>
    <col min="5422" max="5422" width="10.7109375" style="160" customWidth="1"/>
    <col min="5423" max="5423" width="29.7109375" style="160" customWidth="1"/>
    <col min="5424" max="5426" width="22.7109375" style="160" customWidth="1"/>
    <col min="5427" max="5427" width="30.7109375" style="160" customWidth="1"/>
    <col min="5428" max="5428" width="2.7109375" style="160" customWidth="1"/>
    <col min="5429" max="5429" width="10.7109375" style="160" customWidth="1"/>
    <col min="5430" max="5430" width="29.7109375" style="160" customWidth="1"/>
    <col min="5431" max="5433" width="22.7109375" style="160" customWidth="1"/>
    <col min="5434" max="5434" width="30.7109375" style="160" customWidth="1"/>
    <col min="5435" max="5435" width="2.7109375" style="160" customWidth="1"/>
    <col min="5436" max="5436" width="10.7109375" style="160" customWidth="1"/>
    <col min="5437" max="5437" width="29.7109375" style="160" customWidth="1"/>
    <col min="5438" max="5440" width="22.7109375" style="160" customWidth="1"/>
    <col min="5441" max="5441" width="30.7109375" style="160" customWidth="1"/>
    <col min="5442" max="5632" width="8.85546875" style="160"/>
    <col min="5633" max="5633" width="2.7109375" style="160" customWidth="1"/>
    <col min="5634" max="5634" width="10.7109375" style="160" customWidth="1"/>
    <col min="5635" max="5635" width="32.7109375" style="160" customWidth="1"/>
    <col min="5636" max="5638" width="22.7109375" style="160" customWidth="1"/>
    <col min="5639" max="5639" width="30.7109375" style="160" customWidth="1"/>
    <col min="5640" max="5640" width="2.7109375" style="160" customWidth="1"/>
    <col min="5641" max="5641" width="10.7109375" style="160" customWidth="1"/>
    <col min="5642" max="5642" width="32.7109375" style="160" customWidth="1"/>
    <col min="5643" max="5645" width="22.7109375" style="160" customWidth="1"/>
    <col min="5646" max="5646" width="30.7109375" style="160" customWidth="1"/>
    <col min="5647" max="5647" width="2.7109375" style="160" customWidth="1"/>
    <col min="5648" max="5648" width="10.7109375" style="160" customWidth="1"/>
    <col min="5649" max="5649" width="32.7109375" style="160" customWidth="1"/>
    <col min="5650" max="5652" width="22.7109375" style="160" customWidth="1"/>
    <col min="5653" max="5653" width="30.7109375" style="160" customWidth="1"/>
    <col min="5654" max="5655" width="2.7109375" style="160" customWidth="1"/>
    <col min="5656" max="5656" width="10.7109375" style="160" customWidth="1"/>
    <col min="5657" max="5657" width="29.7109375" style="160" customWidth="1"/>
    <col min="5658" max="5660" width="22.7109375" style="160" customWidth="1"/>
    <col min="5661" max="5661" width="30.7109375" style="160" customWidth="1"/>
    <col min="5662" max="5662" width="2.7109375" style="160" customWidth="1"/>
    <col min="5663" max="5663" width="10.7109375" style="160" customWidth="1"/>
    <col min="5664" max="5664" width="29.7109375" style="160" customWidth="1"/>
    <col min="5665" max="5667" width="22.7109375" style="160" customWidth="1"/>
    <col min="5668" max="5668" width="30.7109375" style="160" customWidth="1"/>
    <col min="5669" max="5669" width="2.7109375" style="160" customWidth="1"/>
    <col min="5670" max="5670" width="10.7109375" style="160" customWidth="1"/>
    <col min="5671" max="5671" width="29.7109375" style="160" customWidth="1"/>
    <col min="5672" max="5674" width="22.7109375" style="160" customWidth="1"/>
    <col min="5675" max="5675" width="30.7109375" style="160" customWidth="1"/>
    <col min="5676" max="5677" width="2.7109375" style="160" customWidth="1"/>
    <col min="5678" max="5678" width="10.7109375" style="160" customWidth="1"/>
    <col min="5679" max="5679" width="29.7109375" style="160" customWidth="1"/>
    <col min="5680" max="5682" width="22.7109375" style="160" customWidth="1"/>
    <col min="5683" max="5683" width="30.7109375" style="160" customWidth="1"/>
    <col min="5684" max="5684" width="2.7109375" style="160" customWidth="1"/>
    <col min="5685" max="5685" width="10.7109375" style="160" customWidth="1"/>
    <col min="5686" max="5686" width="29.7109375" style="160" customWidth="1"/>
    <col min="5687" max="5689" width="22.7109375" style="160" customWidth="1"/>
    <col min="5690" max="5690" width="30.7109375" style="160" customWidth="1"/>
    <col min="5691" max="5691" width="2.7109375" style="160" customWidth="1"/>
    <col min="5692" max="5692" width="10.7109375" style="160" customWidth="1"/>
    <col min="5693" max="5693" width="29.7109375" style="160" customWidth="1"/>
    <col min="5694" max="5696" width="22.7109375" style="160" customWidth="1"/>
    <col min="5697" max="5697" width="30.7109375" style="160" customWidth="1"/>
    <col min="5698" max="5888" width="8.85546875" style="160"/>
    <col min="5889" max="5889" width="2.7109375" style="160" customWidth="1"/>
    <col min="5890" max="5890" width="10.7109375" style="160" customWidth="1"/>
    <col min="5891" max="5891" width="32.7109375" style="160" customWidth="1"/>
    <col min="5892" max="5894" width="22.7109375" style="160" customWidth="1"/>
    <col min="5895" max="5895" width="30.7109375" style="160" customWidth="1"/>
    <col min="5896" max="5896" width="2.7109375" style="160" customWidth="1"/>
    <col min="5897" max="5897" width="10.7109375" style="160" customWidth="1"/>
    <col min="5898" max="5898" width="32.7109375" style="160" customWidth="1"/>
    <col min="5899" max="5901" width="22.7109375" style="160" customWidth="1"/>
    <col min="5902" max="5902" width="30.7109375" style="160" customWidth="1"/>
    <col min="5903" max="5903" width="2.7109375" style="160" customWidth="1"/>
    <col min="5904" max="5904" width="10.7109375" style="160" customWidth="1"/>
    <col min="5905" max="5905" width="32.7109375" style="160" customWidth="1"/>
    <col min="5906" max="5908" width="22.7109375" style="160" customWidth="1"/>
    <col min="5909" max="5909" width="30.7109375" style="160" customWidth="1"/>
    <col min="5910" max="5911" width="2.7109375" style="160" customWidth="1"/>
    <col min="5912" max="5912" width="10.7109375" style="160" customWidth="1"/>
    <col min="5913" max="5913" width="29.7109375" style="160" customWidth="1"/>
    <col min="5914" max="5916" width="22.7109375" style="160" customWidth="1"/>
    <col min="5917" max="5917" width="30.7109375" style="160" customWidth="1"/>
    <col min="5918" max="5918" width="2.7109375" style="160" customWidth="1"/>
    <col min="5919" max="5919" width="10.7109375" style="160" customWidth="1"/>
    <col min="5920" max="5920" width="29.7109375" style="160" customWidth="1"/>
    <col min="5921" max="5923" width="22.7109375" style="160" customWidth="1"/>
    <col min="5924" max="5924" width="30.7109375" style="160" customWidth="1"/>
    <col min="5925" max="5925" width="2.7109375" style="160" customWidth="1"/>
    <col min="5926" max="5926" width="10.7109375" style="160" customWidth="1"/>
    <col min="5927" max="5927" width="29.7109375" style="160" customWidth="1"/>
    <col min="5928" max="5930" width="22.7109375" style="160" customWidth="1"/>
    <col min="5931" max="5931" width="30.7109375" style="160" customWidth="1"/>
    <col min="5932" max="5933" width="2.7109375" style="160" customWidth="1"/>
    <col min="5934" max="5934" width="10.7109375" style="160" customWidth="1"/>
    <col min="5935" max="5935" width="29.7109375" style="160" customWidth="1"/>
    <col min="5936" max="5938" width="22.7109375" style="160" customWidth="1"/>
    <col min="5939" max="5939" width="30.7109375" style="160" customWidth="1"/>
    <col min="5940" max="5940" width="2.7109375" style="160" customWidth="1"/>
    <col min="5941" max="5941" width="10.7109375" style="160" customWidth="1"/>
    <col min="5942" max="5942" width="29.7109375" style="160" customWidth="1"/>
    <col min="5943" max="5945" width="22.7109375" style="160" customWidth="1"/>
    <col min="5946" max="5946" width="30.7109375" style="160" customWidth="1"/>
    <col min="5947" max="5947" width="2.7109375" style="160" customWidth="1"/>
    <col min="5948" max="5948" width="10.7109375" style="160" customWidth="1"/>
    <col min="5949" max="5949" width="29.7109375" style="160" customWidth="1"/>
    <col min="5950" max="5952" width="22.7109375" style="160" customWidth="1"/>
    <col min="5953" max="5953" width="30.7109375" style="160" customWidth="1"/>
    <col min="5954" max="6144" width="8.85546875" style="160"/>
    <col min="6145" max="6145" width="2.7109375" style="160" customWidth="1"/>
    <col min="6146" max="6146" width="10.7109375" style="160" customWidth="1"/>
    <col min="6147" max="6147" width="32.7109375" style="160" customWidth="1"/>
    <col min="6148" max="6150" width="22.7109375" style="160" customWidth="1"/>
    <col min="6151" max="6151" width="30.7109375" style="160" customWidth="1"/>
    <col min="6152" max="6152" width="2.7109375" style="160" customWidth="1"/>
    <col min="6153" max="6153" width="10.7109375" style="160" customWidth="1"/>
    <col min="6154" max="6154" width="32.7109375" style="160" customWidth="1"/>
    <col min="6155" max="6157" width="22.7109375" style="160" customWidth="1"/>
    <col min="6158" max="6158" width="30.7109375" style="160" customWidth="1"/>
    <col min="6159" max="6159" width="2.7109375" style="160" customWidth="1"/>
    <col min="6160" max="6160" width="10.7109375" style="160" customWidth="1"/>
    <col min="6161" max="6161" width="32.7109375" style="160" customWidth="1"/>
    <col min="6162" max="6164" width="22.7109375" style="160" customWidth="1"/>
    <col min="6165" max="6165" width="30.7109375" style="160" customWidth="1"/>
    <col min="6166" max="6167" width="2.7109375" style="160" customWidth="1"/>
    <col min="6168" max="6168" width="10.7109375" style="160" customWidth="1"/>
    <col min="6169" max="6169" width="29.7109375" style="160" customWidth="1"/>
    <col min="6170" max="6172" width="22.7109375" style="160" customWidth="1"/>
    <col min="6173" max="6173" width="30.7109375" style="160" customWidth="1"/>
    <col min="6174" max="6174" width="2.7109375" style="160" customWidth="1"/>
    <col min="6175" max="6175" width="10.7109375" style="160" customWidth="1"/>
    <col min="6176" max="6176" width="29.7109375" style="160" customWidth="1"/>
    <col min="6177" max="6179" width="22.7109375" style="160" customWidth="1"/>
    <col min="6180" max="6180" width="30.7109375" style="160" customWidth="1"/>
    <col min="6181" max="6181" width="2.7109375" style="160" customWidth="1"/>
    <col min="6182" max="6182" width="10.7109375" style="160" customWidth="1"/>
    <col min="6183" max="6183" width="29.7109375" style="160" customWidth="1"/>
    <col min="6184" max="6186" width="22.7109375" style="160" customWidth="1"/>
    <col min="6187" max="6187" width="30.7109375" style="160" customWidth="1"/>
    <col min="6188" max="6189" width="2.7109375" style="160" customWidth="1"/>
    <col min="6190" max="6190" width="10.7109375" style="160" customWidth="1"/>
    <col min="6191" max="6191" width="29.7109375" style="160" customWidth="1"/>
    <col min="6192" max="6194" width="22.7109375" style="160" customWidth="1"/>
    <col min="6195" max="6195" width="30.7109375" style="160" customWidth="1"/>
    <col min="6196" max="6196" width="2.7109375" style="160" customWidth="1"/>
    <col min="6197" max="6197" width="10.7109375" style="160" customWidth="1"/>
    <col min="6198" max="6198" width="29.7109375" style="160" customWidth="1"/>
    <col min="6199" max="6201" width="22.7109375" style="160" customWidth="1"/>
    <col min="6202" max="6202" width="30.7109375" style="160" customWidth="1"/>
    <col min="6203" max="6203" width="2.7109375" style="160" customWidth="1"/>
    <col min="6204" max="6204" width="10.7109375" style="160" customWidth="1"/>
    <col min="6205" max="6205" width="29.7109375" style="160" customWidth="1"/>
    <col min="6206" max="6208" width="22.7109375" style="160" customWidth="1"/>
    <col min="6209" max="6209" width="30.7109375" style="160" customWidth="1"/>
    <col min="6210" max="6400" width="8.85546875" style="160"/>
    <col min="6401" max="6401" width="2.7109375" style="160" customWidth="1"/>
    <col min="6402" max="6402" width="10.7109375" style="160" customWidth="1"/>
    <col min="6403" max="6403" width="32.7109375" style="160" customWidth="1"/>
    <col min="6404" max="6406" width="22.7109375" style="160" customWidth="1"/>
    <col min="6407" max="6407" width="30.7109375" style="160" customWidth="1"/>
    <col min="6408" max="6408" width="2.7109375" style="160" customWidth="1"/>
    <col min="6409" max="6409" width="10.7109375" style="160" customWidth="1"/>
    <col min="6410" max="6410" width="32.7109375" style="160" customWidth="1"/>
    <col min="6411" max="6413" width="22.7109375" style="160" customWidth="1"/>
    <col min="6414" max="6414" width="30.7109375" style="160" customWidth="1"/>
    <col min="6415" max="6415" width="2.7109375" style="160" customWidth="1"/>
    <col min="6416" max="6416" width="10.7109375" style="160" customWidth="1"/>
    <col min="6417" max="6417" width="32.7109375" style="160" customWidth="1"/>
    <col min="6418" max="6420" width="22.7109375" style="160" customWidth="1"/>
    <col min="6421" max="6421" width="30.7109375" style="160" customWidth="1"/>
    <col min="6422" max="6423" width="2.7109375" style="160" customWidth="1"/>
    <col min="6424" max="6424" width="10.7109375" style="160" customWidth="1"/>
    <col min="6425" max="6425" width="29.7109375" style="160" customWidth="1"/>
    <col min="6426" max="6428" width="22.7109375" style="160" customWidth="1"/>
    <col min="6429" max="6429" width="30.7109375" style="160" customWidth="1"/>
    <col min="6430" max="6430" width="2.7109375" style="160" customWidth="1"/>
    <col min="6431" max="6431" width="10.7109375" style="160" customWidth="1"/>
    <col min="6432" max="6432" width="29.7109375" style="160" customWidth="1"/>
    <col min="6433" max="6435" width="22.7109375" style="160" customWidth="1"/>
    <col min="6436" max="6436" width="30.7109375" style="160" customWidth="1"/>
    <col min="6437" max="6437" width="2.7109375" style="160" customWidth="1"/>
    <col min="6438" max="6438" width="10.7109375" style="160" customWidth="1"/>
    <col min="6439" max="6439" width="29.7109375" style="160" customWidth="1"/>
    <col min="6440" max="6442" width="22.7109375" style="160" customWidth="1"/>
    <col min="6443" max="6443" width="30.7109375" style="160" customWidth="1"/>
    <col min="6444" max="6445" width="2.7109375" style="160" customWidth="1"/>
    <col min="6446" max="6446" width="10.7109375" style="160" customWidth="1"/>
    <col min="6447" max="6447" width="29.7109375" style="160" customWidth="1"/>
    <col min="6448" max="6450" width="22.7109375" style="160" customWidth="1"/>
    <col min="6451" max="6451" width="30.7109375" style="160" customWidth="1"/>
    <col min="6452" max="6452" width="2.7109375" style="160" customWidth="1"/>
    <col min="6453" max="6453" width="10.7109375" style="160" customWidth="1"/>
    <col min="6454" max="6454" width="29.7109375" style="160" customWidth="1"/>
    <col min="6455" max="6457" width="22.7109375" style="160" customWidth="1"/>
    <col min="6458" max="6458" width="30.7109375" style="160" customWidth="1"/>
    <col min="6459" max="6459" width="2.7109375" style="160" customWidth="1"/>
    <col min="6460" max="6460" width="10.7109375" style="160" customWidth="1"/>
    <col min="6461" max="6461" width="29.7109375" style="160" customWidth="1"/>
    <col min="6462" max="6464" width="22.7109375" style="160" customWidth="1"/>
    <col min="6465" max="6465" width="30.7109375" style="160" customWidth="1"/>
    <col min="6466" max="6656" width="8.85546875" style="160"/>
    <col min="6657" max="6657" width="2.7109375" style="160" customWidth="1"/>
    <col min="6658" max="6658" width="10.7109375" style="160" customWidth="1"/>
    <col min="6659" max="6659" width="32.7109375" style="160" customWidth="1"/>
    <col min="6660" max="6662" width="22.7109375" style="160" customWidth="1"/>
    <col min="6663" max="6663" width="30.7109375" style="160" customWidth="1"/>
    <col min="6664" max="6664" width="2.7109375" style="160" customWidth="1"/>
    <col min="6665" max="6665" width="10.7109375" style="160" customWidth="1"/>
    <col min="6666" max="6666" width="32.7109375" style="160" customWidth="1"/>
    <col min="6667" max="6669" width="22.7109375" style="160" customWidth="1"/>
    <col min="6670" max="6670" width="30.7109375" style="160" customWidth="1"/>
    <col min="6671" max="6671" width="2.7109375" style="160" customWidth="1"/>
    <col min="6672" max="6672" width="10.7109375" style="160" customWidth="1"/>
    <col min="6673" max="6673" width="32.7109375" style="160" customWidth="1"/>
    <col min="6674" max="6676" width="22.7109375" style="160" customWidth="1"/>
    <col min="6677" max="6677" width="30.7109375" style="160" customWidth="1"/>
    <col min="6678" max="6679" width="2.7109375" style="160" customWidth="1"/>
    <col min="6680" max="6680" width="10.7109375" style="160" customWidth="1"/>
    <col min="6681" max="6681" width="29.7109375" style="160" customWidth="1"/>
    <col min="6682" max="6684" width="22.7109375" style="160" customWidth="1"/>
    <col min="6685" max="6685" width="30.7109375" style="160" customWidth="1"/>
    <col min="6686" max="6686" width="2.7109375" style="160" customWidth="1"/>
    <col min="6687" max="6687" width="10.7109375" style="160" customWidth="1"/>
    <col min="6688" max="6688" width="29.7109375" style="160" customWidth="1"/>
    <col min="6689" max="6691" width="22.7109375" style="160" customWidth="1"/>
    <col min="6692" max="6692" width="30.7109375" style="160" customWidth="1"/>
    <col min="6693" max="6693" width="2.7109375" style="160" customWidth="1"/>
    <col min="6694" max="6694" width="10.7109375" style="160" customWidth="1"/>
    <col min="6695" max="6695" width="29.7109375" style="160" customWidth="1"/>
    <col min="6696" max="6698" width="22.7109375" style="160" customWidth="1"/>
    <col min="6699" max="6699" width="30.7109375" style="160" customWidth="1"/>
    <col min="6700" max="6701" width="2.7109375" style="160" customWidth="1"/>
    <col min="6702" max="6702" width="10.7109375" style="160" customWidth="1"/>
    <col min="6703" max="6703" width="29.7109375" style="160" customWidth="1"/>
    <col min="6704" max="6706" width="22.7109375" style="160" customWidth="1"/>
    <col min="6707" max="6707" width="30.7109375" style="160" customWidth="1"/>
    <col min="6708" max="6708" width="2.7109375" style="160" customWidth="1"/>
    <col min="6709" max="6709" width="10.7109375" style="160" customWidth="1"/>
    <col min="6710" max="6710" width="29.7109375" style="160" customWidth="1"/>
    <col min="6711" max="6713" width="22.7109375" style="160" customWidth="1"/>
    <col min="6714" max="6714" width="30.7109375" style="160" customWidth="1"/>
    <col min="6715" max="6715" width="2.7109375" style="160" customWidth="1"/>
    <col min="6716" max="6716" width="10.7109375" style="160" customWidth="1"/>
    <col min="6717" max="6717" width="29.7109375" style="160" customWidth="1"/>
    <col min="6718" max="6720" width="22.7109375" style="160" customWidth="1"/>
    <col min="6721" max="6721" width="30.7109375" style="160" customWidth="1"/>
    <col min="6722" max="6912" width="8.85546875" style="160"/>
    <col min="6913" max="6913" width="2.7109375" style="160" customWidth="1"/>
    <col min="6914" max="6914" width="10.7109375" style="160" customWidth="1"/>
    <col min="6915" max="6915" width="32.7109375" style="160" customWidth="1"/>
    <col min="6916" max="6918" width="22.7109375" style="160" customWidth="1"/>
    <col min="6919" max="6919" width="30.7109375" style="160" customWidth="1"/>
    <col min="6920" max="6920" width="2.7109375" style="160" customWidth="1"/>
    <col min="6921" max="6921" width="10.7109375" style="160" customWidth="1"/>
    <col min="6922" max="6922" width="32.7109375" style="160" customWidth="1"/>
    <col min="6923" max="6925" width="22.7109375" style="160" customWidth="1"/>
    <col min="6926" max="6926" width="30.7109375" style="160" customWidth="1"/>
    <col min="6927" max="6927" width="2.7109375" style="160" customWidth="1"/>
    <col min="6928" max="6928" width="10.7109375" style="160" customWidth="1"/>
    <col min="6929" max="6929" width="32.7109375" style="160" customWidth="1"/>
    <col min="6930" max="6932" width="22.7109375" style="160" customWidth="1"/>
    <col min="6933" max="6933" width="30.7109375" style="160" customWidth="1"/>
    <col min="6934" max="6935" width="2.7109375" style="160" customWidth="1"/>
    <col min="6936" max="6936" width="10.7109375" style="160" customWidth="1"/>
    <col min="6937" max="6937" width="29.7109375" style="160" customWidth="1"/>
    <col min="6938" max="6940" width="22.7109375" style="160" customWidth="1"/>
    <col min="6941" max="6941" width="30.7109375" style="160" customWidth="1"/>
    <col min="6942" max="6942" width="2.7109375" style="160" customWidth="1"/>
    <col min="6943" max="6943" width="10.7109375" style="160" customWidth="1"/>
    <col min="6944" max="6944" width="29.7109375" style="160" customWidth="1"/>
    <col min="6945" max="6947" width="22.7109375" style="160" customWidth="1"/>
    <col min="6948" max="6948" width="30.7109375" style="160" customWidth="1"/>
    <col min="6949" max="6949" width="2.7109375" style="160" customWidth="1"/>
    <col min="6950" max="6950" width="10.7109375" style="160" customWidth="1"/>
    <col min="6951" max="6951" width="29.7109375" style="160" customWidth="1"/>
    <col min="6952" max="6954" width="22.7109375" style="160" customWidth="1"/>
    <col min="6955" max="6955" width="30.7109375" style="160" customWidth="1"/>
    <col min="6956" max="6957" width="2.7109375" style="160" customWidth="1"/>
    <col min="6958" max="6958" width="10.7109375" style="160" customWidth="1"/>
    <col min="6959" max="6959" width="29.7109375" style="160" customWidth="1"/>
    <col min="6960" max="6962" width="22.7109375" style="160" customWidth="1"/>
    <col min="6963" max="6963" width="30.7109375" style="160" customWidth="1"/>
    <col min="6964" max="6964" width="2.7109375" style="160" customWidth="1"/>
    <col min="6965" max="6965" width="10.7109375" style="160" customWidth="1"/>
    <col min="6966" max="6966" width="29.7109375" style="160" customWidth="1"/>
    <col min="6967" max="6969" width="22.7109375" style="160" customWidth="1"/>
    <col min="6970" max="6970" width="30.7109375" style="160" customWidth="1"/>
    <col min="6971" max="6971" width="2.7109375" style="160" customWidth="1"/>
    <col min="6972" max="6972" width="10.7109375" style="160" customWidth="1"/>
    <col min="6973" max="6973" width="29.7109375" style="160" customWidth="1"/>
    <col min="6974" max="6976" width="22.7109375" style="160" customWidth="1"/>
    <col min="6977" max="6977" width="30.7109375" style="160" customWidth="1"/>
    <col min="6978" max="7168" width="8.85546875" style="160"/>
    <col min="7169" max="7169" width="2.7109375" style="160" customWidth="1"/>
    <col min="7170" max="7170" width="10.7109375" style="160" customWidth="1"/>
    <col min="7171" max="7171" width="32.7109375" style="160" customWidth="1"/>
    <col min="7172" max="7174" width="22.7109375" style="160" customWidth="1"/>
    <col min="7175" max="7175" width="30.7109375" style="160" customWidth="1"/>
    <col min="7176" max="7176" width="2.7109375" style="160" customWidth="1"/>
    <col min="7177" max="7177" width="10.7109375" style="160" customWidth="1"/>
    <col min="7178" max="7178" width="32.7109375" style="160" customWidth="1"/>
    <col min="7179" max="7181" width="22.7109375" style="160" customWidth="1"/>
    <col min="7182" max="7182" width="30.7109375" style="160" customWidth="1"/>
    <col min="7183" max="7183" width="2.7109375" style="160" customWidth="1"/>
    <col min="7184" max="7184" width="10.7109375" style="160" customWidth="1"/>
    <col min="7185" max="7185" width="32.7109375" style="160" customWidth="1"/>
    <col min="7186" max="7188" width="22.7109375" style="160" customWidth="1"/>
    <col min="7189" max="7189" width="30.7109375" style="160" customWidth="1"/>
    <col min="7190" max="7191" width="2.7109375" style="160" customWidth="1"/>
    <col min="7192" max="7192" width="10.7109375" style="160" customWidth="1"/>
    <col min="7193" max="7193" width="29.7109375" style="160" customWidth="1"/>
    <col min="7194" max="7196" width="22.7109375" style="160" customWidth="1"/>
    <col min="7197" max="7197" width="30.7109375" style="160" customWidth="1"/>
    <col min="7198" max="7198" width="2.7109375" style="160" customWidth="1"/>
    <col min="7199" max="7199" width="10.7109375" style="160" customWidth="1"/>
    <col min="7200" max="7200" width="29.7109375" style="160" customWidth="1"/>
    <col min="7201" max="7203" width="22.7109375" style="160" customWidth="1"/>
    <col min="7204" max="7204" width="30.7109375" style="160" customWidth="1"/>
    <col min="7205" max="7205" width="2.7109375" style="160" customWidth="1"/>
    <col min="7206" max="7206" width="10.7109375" style="160" customWidth="1"/>
    <col min="7207" max="7207" width="29.7109375" style="160" customWidth="1"/>
    <col min="7208" max="7210" width="22.7109375" style="160" customWidth="1"/>
    <col min="7211" max="7211" width="30.7109375" style="160" customWidth="1"/>
    <col min="7212" max="7213" width="2.7109375" style="160" customWidth="1"/>
    <col min="7214" max="7214" width="10.7109375" style="160" customWidth="1"/>
    <col min="7215" max="7215" width="29.7109375" style="160" customWidth="1"/>
    <col min="7216" max="7218" width="22.7109375" style="160" customWidth="1"/>
    <col min="7219" max="7219" width="30.7109375" style="160" customWidth="1"/>
    <col min="7220" max="7220" width="2.7109375" style="160" customWidth="1"/>
    <col min="7221" max="7221" width="10.7109375" style="160" customWidth="1"/>
    <col min="7222" max="7222" width="29.7109375" style="160" customWidth="1"/>
    <col min="7223" max="7225" width="22.7109375" style="160" customWidth="1"/>
    <col min="7226" max="7226" width="30.7109375" style="160" customWidth="1"/>
    <col min="7227" max="7227" width="2.7109375" style="160" customWidth="1"/>
    <col min="7228" max="7228" width="10.7109375" style="160" customWidth="1"/>
    <col min="7229" max="7229" width="29.7109375" style="160" customWidth="1"/>
    <col min="7230" max="7232" width="22.7109375" style="160" customWidth="1"/>
    <col min="7233" max="7233" width="30.7109375" style="160" customWidth="1"/>
    <col min="7234" max="7424" width="8.85546875" style="160"/>
    <col min="7425" max="7425" width="2.7109375" style="160" customWidth="1"/>
    <col min="7426" max="7426" width="10.7109375" style="160" customWidth="1"/>
    <col min="7427" max="7427" width="32.7109375" style="160" customWidth="1"/>
    <col min="7428" max="7430" width="22.7109375" style="160" customWidth="1"/>
    <col min="7431" max="7431" width="30.7109375" style="160" customWidth="1"/>
    <col min="7432" max="7432" width="2.7109375" style="160" customWidth="1"/>
    <col min="7433" max="7433" width="10.7109375" style="160" customWidth="1"/>
    <col min="7434" max="7434" width="32.7109375" style="160" customWidth="1"/>
    <col min="7435" max="7437" width="22.7109375" style="160" customWidth="1"/>
    <col min="7438" max="7438" width="30.7109375" style="160" customWidth="1"/>
    <col min="7439" max="7439" width="2.7109375" style="160" customWidth="1"/>
    <col min="7440" max="7440" width="10.7109375" style="160" customWidth="1"/>
    <col min="7441" max="7441" width="32.7109375" style="160" customWidth="1"/>
    <col min="7442" max="7444" width="22.7109375" style="160" customWidth="1"/>
    <col min="7445" max="7445" width="30.7109375" style="160" customWidth="1"/>
    <col min="7446" max="7447" width="2.7109375" style="160" customWidth="1"/>
    <col min="7448" max="7448" width="10.7109375" style="160" customWidth="1"/>
    <col min="7449" max="7449" width="29.7109375" style="160" customWidth="1"/>
    <col min="7450" max="7452" width="22.7109375" style="160" customWidth="1"/>
    <col min="7453" max="7453" width="30.7109375" style="160" customWidth="1"/>
    <col min="7454" max="7454" width="2.7109375" style="160" customWidth="1"/>
    <col min="7455" max="7455" width="10.7109375" style="160" customWidth="1"/>
    <col min="7456" max="7456" width="29.7109375" style="160" customWidth="1"/>
    <col min="7457" max="7459" width="22.7109375" style="160" customWidth="1"/>
    <col min="7460" max="7460" width="30.7109375" style="160" customWidth="1"/>
    <col min="7461" max="7461" width="2.7109375" style="160" customWidth="1"/>
    <col min="7462" max="7462" width="10.7109375" style="160" customWidth="1"/>
    <col min="7463" max="7463" width="29.7109375" style="160" customWidth="1"/>
    <col min="7464" max="7466" width="22.7109375" style="160" customWidth="1"/>
    <col min="7467" max="7467" width="30.7109375" style="160" customWidth="1"/>
    <col min="7468" max="7469" width="2.7109375" style="160" customWidth="1"/>
    <col min="7470" max="7470" width="10.7109375" style="160" customWidth="1"/>
    <col min="7471" max="7471" width="29.7109375" style="160" customWidth="1"/>
    <col min="7472" max="7474" width="22.7109375" style="160" customWidth="1"/>
    <col min="7475" max="7475" width="30.7109375" style="160" customWidth="1"/>
    <col min="7476" max="7476" width="2.7109375" style="160" customWidth="1"/>
    <col min="7477" max="7477" width="10.7109375" style="160" customWidth="1"/>
    <col min="7478" max="7478" width="29.7109375" style="160" customWidth="1"/>
    <col min="7479" max="7481" width="22.7109375" style="160" customWidth="1"/>
    <col min="7482" max="7482" width="30.7109375" style="160" customWidth="1"/>
    <col min="7483" max="7483" width="2.7109375" style="160" customWidth="1"/>
    <col min="7484" max="7484" width="10.7109375" style="160" customWidth="1"/>
    <col min="7485" max="7485" width="29.7109375" style="160" customWidth="1"/>
    <col min="7486" max="7488" width="22.7109375" style="160" customWidth="1"/>
    <col min="7489" max="7489" width="30.7109375" style="160" customWidth="1"/>
    <col min="7490" max="7680" width="8.85546875" style="160"/>
    <col min="7681" max="7681" width="2.7109375" style="160" customWidth="1"/>
    <col min="7682" max="7682" width="10.7109375" style="160" customWidth="1"/>
    <col min="7683" max="7683" width="32.7109375" style="160" customWidth="1"/>
    <col min="7684" max="7686" width="22.7109375" style="160" customWidth="1"/>
    <col min="7687" max="7687" width="30.7109375" style="160" customWidth="1"/>
    <col min="7688" max="7688" width="2.7109375" style="160" customWidth="1"/>
    <col min="7689" max="7689" width="10.7109375" style="160" customWidth="1"/>
    <col min="7690" max="7690" width="32.7109375" style="160" customWidth="1"/>
    <col min="7691" max="7693" width="22.7109375" style="160" customWidth="1"/>
    <col min="7694" max="7694" width="30.7109375" style="160" customWidth="1"/>
    <col min="7695" max="7695" width="2.7109375" style="160" customWidth="1"/>
    <col min="7696" max="7696" width="10.7109375" style="160" customWidth="1"/>
    <col min="7697" max="7697" width="32.7109375" style="160" customWidth="1"/>
    <col min="7698" max="7700" width="22.7109375" style="160" customWidth="1"/>
    <col min="7701" max="7701" width="30.7109375" style="160" customWidth="1"/>
    <col min="7702" max="7703" width="2.7109375" style="160" customWidth="1"/>
    <col min="7704" max="7704" width="10.7109375" style="160" customWidth="1"/>
    <col min="7705" max="7705" width="29.7109375" style="160" customWidth="1"/>
    <col min="7706" max="7708" width="22.7109375" style="160" customWidth="1"/>
    <col min="7709" max="7709" width="30.7109375" style="160" customWidth="1"/>
    <col min="7710" max="7710" width="2.7109375" style="160" customWidth="1"/>
    <col min="7711" max="7711" width="10.7109375" style="160" customWidth="1"/>
    <col min="7712" max="7712" width="29.7109375" style="160" customWidth="1"/>
    <col min="7713" max="7715" width="22.7109375" style="160" customWidth="1"/>
    <col min="7716" max="7716" width="30.7109375" style="160" customWidth="1"/>
    <col min="7717" max="7717" width="2.7109375" style="160" customWidth="1"/>
    <col min="7718" max="7718" width="10.7109375" style="160" customWidth="1"/>
    <col min="7719" max="7719" width="29.7109375" style="160" customWidth="1"/>
    <col min="7720" max="7722" width="22.7109375" style="160" customWidth="1"/>
    <col min="7723" max="7723" width="30.7109375" style="160" customWidth="1"/>
    <col min="7724" max="7725" width="2.7109375" style="160" customWidth="1"/>
    <col min="7726" max="7726" width="10.7109375" style="160" customWidth="1"/>
    <col min="7727" max="7727" width="29.7109375" style="160" customWidth="1"/>
    <col min="7728" max="7730" width="22.7109375" style="160" customWidth="1"/>
    <col min="7731" max="7731" width="30.7109375" style="160" customWidth="1"/>
    <col min="7732" max="7732" width="2.7109375" style="160" customWidth="1"/>
    <col min="7733" max="7733" width="10.7109375" style="160" customWidth="1"/>
    <col min="7734" max="7734" width="29.7109375" style="160" customWidth="1"/>
    <col min="7735" max="7737" width="22.7109375" style="160" customWidth="1"/>
    <col min="7738" max="7738" width="30.7109375" style="160" customWidth="1"/>
    <col min="7739" max="7739" width="2.7109375" style="160" customWidth="1"/>
    <col min="7740" max="7740" width="10.7109375" style="160" customWidth="1"/>
    <col min="7741" max="7741" width="29.7109375" style="160" customWidth="1"/>
    <col min="7742" max="7744" width="22.7109375" style="160" customWidth="1"/>
    <col min="7745" max="7745" width="30.7109375" style="160" customWidth="1"/>
    <col min="7746" max="7936" width="8.85546875" style="160"/>
    <col min="7937" max="7937" width="2.7109375" style="160" customWidth="1"/>
    <col min="7938" max="7938" width="10.7109375" style="160" customWidth="1"/>
    <col min="7939" max="7939" width="32.7109375" style="160" customWidth="1"/>
    <col min="7940" max="7942" width="22.7109375" style="160" customWidth="1"/>
    <col min="7943" max="7943" width="30.7109375" style="160" customWidth="1"/>
    <col min="7944" max="7944" width="2.7109375" style="160" customWidth="1"/>
    <col min="7945" max="7945" width="10.7109375" style="160" customWidth="1"/>
    <col min="7946" max="7946" width="32.7109375" style="160" customWidth="1"/>
    <col min="7947" max="7949" width="22.7109375" style="160" customWidth="1"/>
    <col min="7950" max="7950" width="30.7109375" style="160" customWidth="1"/>
    <col min="7951" max="7951" width="2.7109375" style="160" customWidth="1"/>
    <col min="7952" max="7952" width="10.7109375" style="160" customWidth="1"/>
    <col min="7953" max="7953" width="32.7109375" style="160" customWidth="1"/>
    <col min="7954" max="7956" width="22.7109375" style="160" customWidth="1"/>
    <col min="7957" max="7957" width="30.7109375" style="160" customWidth="1"/>
    <col min="7958" max="7959" width="2.7109375" style="160" customWidth="1"/>
    <col min="7960" max="7960" width="10.7109375" style="160" customWidth="1"/>
    <col min="7961" max="7961" width="29.7109375" style="160" customWidth="1"/>
    <col min="7962" max="7964" width="22.7109375" style="160" customWidth="1"/>
    <col min="7965" max="7965" width="30.7109375" style="160" customWidth="1"/>
    <col min="7966" max="7966" width="2.7109375" style="160" customWidth="1"/>
    <col min="7967" max="7967" width="10.7109375" style="160" customWidth="1"/>
    <col min="7968" max="7968" width="29.7109375" style="160" customWidth="1"/>
    <col min="7969" max="7971" width="22.7109375" style="160" customWidth="1"/>
    <col min="7972" max="7972" width="30.7109375" style="160" customWidth="1"/>
    <col min="7973" max="7973" width="2.7109375" style="160" customWidth="1"/>
    <col min="7974" max="7974" width="10.7109375" style="160" customWidth="1"/>
    <col min="7975" max="7975" width="29.7109375" style="160" customWidth="1"/>
    <col min="7976" max="7978" width="22.7109375" style="160" customWidth="1"/>
    <col min="7979" max="7979" width="30.7109375" style="160" customWidth="1"/>
    <col min="7980" max="7981" width="2.7109375" style="160" customWidth="1"/>
    <col min="7982" max="7982" width="10.7109375" style="160" customWidth="1"/>
    <col min="7983" max="7983" width="29.7109375" style="160" customWidth="1"/>
    <col min="7984" max="7986" width="22.7109375" style="160" customWidth="1"/>
    <col min="7987" max="7987" width="30.7109375" style="160" customWidth="1"/>
    <col min="7988" max="7988" width="2.7109375" style="160" customWidth="1"/>
    <col min="7989" max="7989" width="10.7109375" style="160" customWidth="1"/>
    <col min="7990" max="7990" width="29.7109375" style="160" customWidth="1"/>
    <col min="7991" max="7993" width="22.7109375" style="160" customWidth="1"/>
    <col min="7994" max="7994" width="30.7109375" style="160" customWidth="1"/>
    <col min="7995" max="7995" width="2.7109375" style="160" customWidth="1"/>
    <col min="7996" max="7996" width="10.7109375" style="160" customWidth="1"/>
    <col min="7997" max="7997" width="29.7109375" style="160" customWidth="1"/>
    <col min="7998" max="8000" width="22.7109375" style="160" customWidth="1"/>
    <col min="8001" max="8001" width="30.7109375" style="160" customWidth="1"/>
    <col min="8002" max="8192" width="8.85546875" style="160"/>
    <col min="8193" max="8193" width="2.7109375" style="160" customWidth="1"/>
    <col min="8194" max="8194" width="10.7109375" style="160" customWidth="1"/>
    <col min="8195" max="8195" width="32.7109375" style="160" customWidth="1"/>
    <col min="8196" max="8198" width="22.7109375" style="160" customWidth="1"/>
    <col min="8199" max="8199" width="30.7109375" style="160" customWidth="1"/>
    <col min="8200" max="8200" width="2.7109375" style="160" customWidth="1"/>
    <col min="8201" max="8201" width="10.7109375" style="160" customWidth="1"/>
    <col min="8202" max="8202" width="32.7109375" style="160" customWidth="1"/>
    <col min="8203" max="8205" width="22.7109375" style="160" customWidth="1"/>
    <col min="8206" max="8206" width="30.7109375" style="160" customWidth="1"/>
    <col min="8207" max="8207" width="2.7109375" style="160" customWidth="1"/>
    <col min="8208" max="8208" width="10.7109375" style="160" customWidth="1"/>
    <col min="8209" max="8209" width="32.7109375" style="160" customWidth="1"/>
    <col min="8210" max="8212" width="22.7109375" style="160" customWidth="1"/>
    <col min="8213" max="8213" width="30.7109375" style="160" customWidth="1"/>
    <col min="8214" max="8215" width="2.7109375" style="160" customWidth="1"/>
    <col min="8216" max="8216" width="10.7109375" style="160" customWidth="1"/>
    <col min="8217" max="8217" width="29.7109375" style="160" customWidth="1"/>
    <col min="8218" max="8220" width="22.7109375" style="160" customWidth="1"/>
    <col min="8221" max="8221" width="30.7109375" style="160" customWidth="1"/>
    <col min="8222" max="8222" width="2.7109375" style="160" customWidth="1"/>
    <col min="8223" max="8223" width="10.7109375" style="160" customWidth="1"/>
    <col min="8224" max="8224" width="29.7109375" style="160" customWidth="1"/>
    <col min="8225" max="8227" width="22.7109375" style="160" customWidth="1"/>
    <col min="8228" max="8228" width="30.7109375" style="160" customWidth="1"/>
    <col min="8229" max="8229" width="2.7109375" style="160" customWidth="1"/>
    <col min="8230" max="8230" width="10.7109375" style="160" customWidth="1"/>
    <col min="8231" max="8231" width="29.7109375" style="160" customWidth="1"/>
    <col min="8232" max="8234" width="22.7109375" style="160" customWidth="1"/>
    <col min="8235" max="8235" width="30.7109375" style="160" customWidth="1"/>
    <col min="8236" max="8237" width="2.7109375" style="160" customWidth="1"/>
    <col min="8238" max="8238" width="10.7109375" style="160" customWidth="1"/>
    <col min="8239" max="8239" width="29.7109375" style="160" customWidth="1"/>
    <col min="8240" max="8242" width="22.7109375" style="160" customWidth="1"/>
    <col min="8243" max="8243" width="30.7109375" style="160" customWidth="1"/>
    <col min="8244" max="8244" width="2.7109375" style="160" customWidth="1"/>
    <col min="8245" max="8245" width="10.7109375" style="160" customWidth="1"/>
    <col min="8246" max="8246" width="29.7109375" style="160" customWidth="1"/>
    <col min="8247" max="8249" width="22.7109375" style="160" customWidth="1"/>
    <col min="8250" max="8250" width="30.7109375" style="160" customWidth="1"/>
    <col min="8251" max="8251" width="2.7109375" style="160" customWidth="1"/>
    <col min="8252" max="8252" width="10.7109375" style="160" customWidth="1"/>
    <col min="8253" max="8253" width="29.7109375" style="160" customWidth="1"/>
    <col min="8254" max="8256" width="22.7109375" style="160" customWidth="1"/>
    <col min="8257" max="8257" width="30.7109375" style="160" customWidth="1"/>
    <col min="8258" max="8448" width="8.85546875" style="160"/>
    <col min="8449" max="8449" width="2.7109375" style="160" customWidth="1"/>
    <col min="8450" max="8450" width="10.7109375" style="160" customWidth="1"/>
    <col min="8451" max="8451" width="32.7109375" style="160" customWidth="1"/>
    <col min="8452" max="8454" width="22.7109375" style="160" customWidth="1"/>
    <col min="8455" max="8455" width="30.7109375" style="160" customWidth="1"/>
    <col min="8456" max="8456" width="2.7109375" style="160" customWidth="1"/>
    <col min="8457" max="8457" width="10.7109375" style="160" customWidth="1"/>
    <col min="8458" max="8458" width="32.7109375" style="160" customWidth="1"/>
    <col min="8459" max="8461" width="22.7109375" style="160" customWidth="1"/>
    <col min="8462" max="8462" width="30.7109375" style="160" customWidth="1"/>
    <col min="8463" max="8463" width="2.7109375" style="160" customWidth="1"/>
    <col min="8464" max="8464" width="10.7109375" style="160" customWidth="1"/>
    <col min="8465" max="8465" width="32.7109375" style="160" customWidth="1"/>
    <col min="8466" max="8468" width="22.7109375" style="160" customWidth="1"/>
    <col min="8469" max="8469" width="30.7109375" style="160" customWidth="1"/>
    <col min="8470" max="8471" width="2.7109375" style="160" customWidth="1"/>
    <col min="8472" max="8472" width="10.7109375" style="160" customWidth="1"/>
    <col min="8473" max="8473" width="29.7109375" style="160" customWidth="1"/>
    <col min="8474" max="8476" width="22.7109375" style="160" customWidth="1"/>
    <col min="8477" max="8477" width="30.7109375" style="160" customWidth="1"/>
    <col min="8478" max="8478" width="2.7109375" style="160" customWidth="1"/>
    <col min="8479" max="8479" width="10.7109375" style="160" customWidth="1"/>
    <col min="8480" max="8480" width="29.7109375" style="160" customWidth="1"/>
    <col min="8481" max="8483" width="22.7109375" style="160" customWidth="1"/>
    <col min="8484" max="8484" width="30.7109375" style="160" customWidth="1"/>
    <col min="8485" max="8485" width="2.7109375" style="160" customWidth="1"/>
    <col min="8486" max="8486" width="10.7109375" style="160" customWidth="1"/>
    <col min="8487" max="8487" width="29.7109375" style="160" customWidth="1"/>
    <col min="8488" max="8490" width="22.7109375" style="160" customWidth="1"/>
    <col min="8491" max="8491" width="30.7109375" style="160" customWidth="1"/>
    <col min="8492" max="8493" width="2.7109375" style="160" customWidth="1"/>
    <col min="8494" max="8494" width="10.7109375" style="160" customWidth="1"/>
    <col min="8495" max="8495" width="29.7109375" style="160" customWidth="1"/>
    <col min="8496" max="8498" width="22.7109375" style="160" customWidth="1"/>
    <col min="8499" max="8499" width="30.7109375" style="160" customWidth="1"/>
    <col min="8500" max="8500" width="2.7109375" style="160" customWidth="1"/>
    <col min="8501" max="8501" width="10.7109375" style="160" customWidth="1"/>
    <col min="8502" max="8502" width="29.7109375" style="160" customWidth="1"/>
    <col min="8503" max="8505" width="22.7109375" style="160" customWidth="1"/>
    <col min="8506" max="8506" width="30.7109375" style="160" customWidth="1"/>
    <col min="8507" max="8507" width="2.7109375" style="160" customWidth="1"/>
    <col min="8508" max="8508" width="10.7109375" style="160" customWidth="1"/>
    <col min="8509" max="8509" width="29.7109375" style="160" customWidth="1"/>
    <col min="8510" max="8512" width="22.7109375" style="160" customWidth="1"/>
    <col min="8513" max="8513" width="30.7109375" style="160" customWidth="1"/>
    <col min="8514" max="8704" width="8.85546875" style="160"/>
    <col min="8705" max="8705" width="2.7109375" style="160" customWidth="1"/>
    <col min="8706" max="8706" width="10.7109375" style="160" customWidth="1"/>
    <col min="8707" max="8707" width="32.7109375" style="160" customWidth="1"/>
    <col min="8708" max="8710" width="22.7109375" style="160" customWidth="1"/>
    <col min="8711" max="8711" width="30.7109375" style="160" customWidth="1"/>
    <col min="8712" max="8712" width="2.7109375" style="160" customWidth="1"/>
    <col min="8713" max="8713" width="10.7109375" style="160" customWidth="1"/>
    <col min="8714" max="8714" width="32.7109375" style="160" customWidth="1"/>
    <col min="8715" max="8717" width="22.7109375" style="160" customWidth="1"/>
    <col min="8718" max="8718" width="30.7109375" style="160" customWidth="1"/>
    <col min="8719" max="8719" width="2.7109375" style="160" customWidth="1"/>
    <col min="8720" max="8720" width="10.7109375" style="160" customWidth="1"/>
    <col min="8721" max="8721" width="32.7109375" style="160" customWidth="1"/>
    <col min="8722" max="8724" width="22.7109375" style="160" customWidth="1"/>
    <col min="8725" max="8725" width="30.7109375" style="160" customWidth="1"/>
    <col min="8726" max="8727" width="2.7109375" style="160" customWidth="1"/>
    <col min="8728" max="8728" width="10.7109375" style="160" customWidth="1"/>
    <col min="8729" max="8729" width="29.7109375" style="160" customWidth="1"/>
    <col min="8730" max="8732" width="22.7109375" style="160" customWidth="1"/>
    <col min="8733" max="8733" width="30.7109375" style="160" customWidth="1"/>
    <col min="8734" max="8734" width="2.7109375" style="160" customWidth="1"/>
    <col min="8735" max="8735" width="10.7109375" style="160" customWidth="1"/>
    <col min="8736" max="8736" width="29.7109375" style="160" customWidth="1"/>
    <col min="8737" max="8739" width="22.7109375" style="160" customWidth="1"/>
    <col min="8740" max="8740" width="30.7109375" style="160" customWidth="1"/>
    <col min="8741" max="8741" width="2.7109375" style="160" customWidth="1"/>
    <col min="8742" max="8742" width="10.7109375" style="160" customWidth="1"/>
    <col min="8743" max="8743" width="29.7109375" style="160" customWidth="1"/>
    <col min="8744" max="8746" width="22.7109375" style="160" customWidth="1"/>
    <col min="8747" max="8747" width="30.7109375" style="160" customWidth="1"/>
    <col min="8748" max="8749" width="2.7109375" style="160" customWidth="1"/>
    <col min="8750" max="8750" width="10.7109375" style="160" customWidth="1"/>
    <col min="8751" max="8751" width="29.7109375" style="160" customWidth="1"/>
    <col min="8752" max="8754" width="22.7109375" style="160" customWidth="1"/>
    <col min="8755" max="8755" width="30.7109375" style="160" customWidth="1"/>
    <col min="8756" max="8756" width="2.7109375" style="160" customWidth="1"/>
    <col min="8757" max="8757" width="10.7109375" style="160" customWidth="1"/>
    <col min="8758" max="8758" width="29.7109375" style="160" customWidth="1"/>
    <col min="8759" max="8761" width="22.7109375" style="160" customWidth="1"/>
    <col min="8762" max="8762" width="30.7109375" style="160" customWidth="1"/>
    <col min="8763" max="8763" width="2.7109375" style="160" customWidth="1"/>
    <col min="8764" max="8764" width="10.7109375" style="160" customWidth="1"/>
    <col min="8765" max="8765" width="29.7109375" style="160" customWidth="1"/>
    <col min="8766" max="8768" width="22.7109375" style="160" customWidth="1"/>
    <col min="8769" max="8769" width="30.7109375" style="160" customWidth="1"/>
    <col min="8770" max="8960" width="8.85546875" style="160"/>
    <col min="8961" max="8961" width="2.7109375" style="160" customWidth="1"/>
    <col min="8962" max="8962" width="10.7109375" style="160" customWidth="1"/>
    <col min="8963" max="8963" width="32.7109375" style="160" customWidth="1"/>
    <col min="8964" max="8966" width="22.7109375" style="160" customWidth="1"/>
    <col min="8967" max="8967" width="30.7109375" style="160" customWidth="1"/>
    <col min="8968" max="8968" width="2.7109375" style="160" customWidth="1"/>
    <col min="8969" max="8969" width="10.7109375" style="160" customWidth="1"/>
    <col min="8970" max="8970" width="32.7109375" style="160" customWidth="1"/>
    <col min="8971" max="8973" width="22.7109375" style="160" customWidth="1"/>
    <col min="8974" max="8974" width="30.7109375" style="160" customWidth="1"/>
    <col min="8975" max="8975" width="2.7109375" style="160" customWidth="1"/>
    <col min="8976" max="8976" width="10.7109375" style="160" customWidth="1"/>
    <col min="8977" max="8977" width="32.7109375" style="160" customWidth="1"/>
    <col min="8978" max="8980" width="22.7109375" style="160" customWidth="1"/>
    <col min="8981" max="8981" width="30.7109375" style="160" customWidth="1"/>
    <col min="8982" max="8983" width="2.7109375" style="160" customWidth="1"/>
    <col min="8984" max="8984" width="10.7109375" style="160" customWidth="1"/>
    <col min="8985" max="8985" width="29.7109375" style="160" customWidth="1"/>
    <col min="8986" max="8988" width="22.7109375" style="160" customWidth="1"/>
    <col min="8989" max="8989" width="30.7109375" style="160" customWidth="1"/>
    <col min="8990" max="8990" width="2.7109375" style="160" customWidth="1"/>
    <col min="8991" max="8991" width="10.7109375" style="160" customWidth="1"/>
    <col min="8992" max="8992" width="29.7109375" style="160" customWidth="1"/>
    <col min="8993" max="8995" width="22.7109375" style="160" customWidth="1"/>
    <col min="8996" max="8996" width="30.7109375" style="160" customWidth="1"/>
    <col min="8997" max="8997" width="2.7109375" style="160" customWidth="1"/>
    <col min="8998" max="8998" width="10.7109375" style="160" customWidth="1"/>
    <col min="8999" max="8999" width="29.7109375" style="160" customWidth="1"/>
    <col min="9000" max="9002" width="22.7109375" style="160" customWidth="1"/>
    <col min="9003" max="9003" width="30.7109375" style="160" customWidth="1"/>
    <col min="9004" max="9005" width="2.7109375" style="160" customWidth="1"/>
    <col min="9006" max="9006" width="10.7109375" style="160" customWidth="1"/>
    <col min="9007" max="9007" width="29.7109375" style="160" customWidth="1"/>
    <col min="9008" max="9010" width="22.7109375" style="160" customWidth="1"/>
    <col min="9011" max="9011" width="30.7109375" style="160" customWidth="1"/>
    <col min="9012" max="9012" width="2.7109375" style="160" customWidth="1"/>
    <col min="9013" max="9013" width="10.7109375" style="160" customWidth="1"/>
    <col min="9014" max="9014" width="29.7109375" style="160" customWidth="1"/>
    <col min="9015" max="9017" width="22.7109375" style="160" customWidth="1"/>
    <col min="9018" max="9018" width="30.7109375" style="160" customWidth="1"/>
    <col min="9019" max="9019" width="2.7109375" style="160" customWidth="1"/>
    <col min="9020" max="9020" width="10.7109375" style="160" customWidth="1"/>
    <col min="9021" max="9021" width="29.7109375" style="160" customWidth="1"/>
    <col min="9022" max="9024" width="22.7109375" style="160" customWidth="1"/>
    <col min="9025" max="9025" width="30.7109375" style="160" customWidth="1"/>
    <col min="9026" max="9216" width="8.85546875" style="160"/>
    <col min="9217" max="9217" width="2.7109375" style="160" customWidth="1"/>
    <col min="9218" max="9218" width="10.7109375" style="160" customWidth="1"/>
    <col min="9219" max="9219" width="32.7109375" style="160" customWidth="1"/>
    <col min="9220" max="9222" width="22.7109375" style="160" customWidth="1"/>
    <col min="9223" max="9223" width="30.7109375" style="160" customWidth="1"/>
    <col min="9224" max="9224" width="2.7109375" style="160" customWidth="1"/>
    <col min="9225" max="9225" width="10.7109375" style="160" customWidth="1"/>
    <col min="9226" max="9226" width="32.7109375" style="160" customWidth="1"/>
    <col min="9227" max="9229" width="22.7109375" style="160" customWidth="1"/>
    <col min="9230" max="9230" width="30.7109375" style="160" customWidth="1"/>
    <col min="9231" max="9231" width="2.7109375" style="160" customWidth="1"/>
    <col min="9232" max="9232" width="10.7109375" style="160" customWidth="1"/>
    <col min="9233" max="9233" width="32.7109375" style="160" customWidth="1"/>
    <col min="9234" max="9236" width="22.7109375" style="160" customWidth="1"/>
    <col min="9237" max="9237" width="30.7109375" style="160" customWidth="1"/>
    <col min="9238" max="9239" width="2.7109375" style="160" customWidth="1"/>
    <col min="9240" max="9240" width="10.7109375" style="160" customWidth="1"/>
    <col min="9241" max="9241" width="29.7109375" style="160" customWidth="1"/>
    <col min="9242" max="9244" width="22.7109375" style="160" customWidth="1"/>
    <col min="9245" max="9245" width="30.7109375" style="160" customWidth="1"/>
    <col min="9246" max="9246" width="2.7109375" style="160" customWidth="1"/>
    <col min="9247" max="9247" width="10.7109375" style="160" customWidth="1"/>
    <col min="9248" max="9248" width="29.7109375" style="160" customWidth="1"/>
    <col min="9249" max="9251" width="22.7109375" style="160" customWidth="1"/>
    <col min="9252" max="9252" width="30.7109375" style="160" customWidth="1"/>
    <col min="9253" max="9253" width="2.7109375" style="160" customWidth="1"/>
    <col min="9254" max="9254" width="10.7109375" style="160" customWidth="1"/>
    <col min="9255" max="9255" width="29.7109375" style="160" customWidth="1"/>
    <col min="9256" max="9258" width="22.7109375" style="160" customWidth="1"/>
    <col min="9259" max="9259" width="30.7109375" style="160" customWidth="1"/>
    <col min="9260" max="9261" width="2.7109375" style="160" customWidth="1"/>
    <col min="9262" max="9262" width="10.7109375" style="160" customWidth="1"/>
    <col min="9263" max="9263" width="29.7109375" style="160" customWidth="1"/>
    <col min="9264" max="9266" width="22.7109375" style="160" customWidth="1"/>
    <col min="9267" max="9267" width="30.7109375" style="160" customWidth="1"/>
    <col min="9268" max="9268" width="2.7109375" style="160" customWidth="1"/>
    <col min="9269" max="9269" width="10.7109375" style="160" customWidth="1"/>
    <col min="9270" max="9270" width="29.7109375" style="160" customWidth="1"/>
    <col min="9271" max="9273" width="22.7109375" style="160" customWidth="1"/>
    <col min="9274" max="9274" width="30.7109375" style="160" customWidth="1"/>
    <col min="9275" max="9275" width="2.7109375" style="160" customWidth="1"/>
    <col min="9276" max="9276" width="10.7109375" style="160" customWidth="1"/>
    <col min="9277" max="9277" width="29.7109375" style="160" customWidth="1"/>
    <col min="9278" max="9280" width="22.7109375" style="160" customWidth="1"/>
    <col min="9281" max="9281" width="30.7109375" style="160" customWidth="1"/>
    <col min="9282" max="9472" width="8.85546875" style="160"/>
    <col min="9473" max="9473" width="2.7109375" style="160" customWidth="1"/>
    <col min="9474" max="9474" width="10.7109375" style="160" customWidth="1"/>
    <col min="9475" max="9475" width="32.7109375" style="160" customWidth="1"/>
    <col min="9476" max="9478" width="22.7109375" style="160" customWidth="1"/>
    <col min="9479" max="9479" width="30.7109375" style="160" customWidth="1"/>
    <col min="9480" max="9480" width="2.7109375" style="160" customWidth="1"/>
    <col min="9481" max="9481" width="10.7109375" style="160" customWidth="1"/>
    <col min="9482" max="9482" width="32.7109375" style="160" customWidth="1"/>
    <col min="9483" max="9485" width="22.7109375" style="160" customWidth="1"/>
    <col min="9486" max="9486" width="30.7109375" style="160" customWidth="1"/>
    <col min="9487" max="9487" width="2.7109375" style="160" customWidth="1"/>
    <col min="9488" max="9488" width="10.7109375" style="160" customWidth="1"/>
    <col min="9489" max="9489" width="32.7109375" style="160" customWidth="1"/>
    <col min="9490" max="9492" width="22.7109375" style="160" customWidth="1"/>
    <col min="9493" max="9493" width="30.7109375" style="160" customWidth="1"/>
    <col min="9494" max="9495" width="2.7109375" style="160" customWidth="1"/>
    <col min="9496" max="9496" width="10.7109375" style="160" customWidth="1"/>
    <col min="9497" max="9497" width="29.7109375" style="160" customWidth="1"/>
    <col min="9498" max="9500" width="22.7109375" style="160" customWidth="1"/>
    <col min="9501" max="9501" width="30.7109375" style="160" customWidth="1"/>
    <col min="9502" max="9502" width="2.7109375" style="160" customWidth="1"/>
    <col min="9503" max="9503" width="10.7109375" style="160" customWidth="1"/>
    <col min="9504" max="9504" width="29.7109375" style="160" customWidth="1"/>
    <col min="9505" max="9507" width="22.7109375" style="160" customWidth="1"/>
    <col min="9508" max="9508" width="30.7109375" style="160" customWidth="1"/>
    <col min="9509" max="9509" width="2.7109375" style="160" customWidth="1"/>
    <col min="9510" max="9510" width="10.7109375" style="160" customWidth="1"/>
    <col min="9511" max="9511" width="29.7109375" style="160" customWidth="1"/>
    <col min="9512" max="9514" width="22.7109375" style="160" customWidth="1"/>
    <col min="9515" max="9515" width="30.7109375" style="160" customWidth="1"/>
    <col min="9516" max="9517" width="2.7109375" style="160" customWidth="1"/>
    <col min="9518" max="9518" width="10.7109375" style="160" customWidth="1"/>
    <col min="9519" max="9519" width="29.7109375" style="160" customWidth="1"/>
    <col min="9520" max="9522" width="22.7109375" style="160" customWidth="1"/>
    <col min="9523" max="9523" width="30.7109375" style="160" customWidth="1"/>
    <col min="9524" max="9524" width="2.7109375" style="160" customWidth="1"/>
    <col min="9525" max="9525" width="10.7109375" style="160" customWidth="1"/>
    <col min="9526" max="9526" width="29.7109375" style="160" customWidth="1"/>
    <col min="9527" max="9529" width="22.7109375" style="160" customWidth="1"/>
    <col min="9530" max="9530" width="30.7109375" style="160" customWidth="1"/>
    <col min="9531" max="9531" width="2.7109375" style="160" customWidth="1"/>
    <col min="9532" max="9532" width="10.7109375" style="160" customWidth="1"/>
    <col min="9533" max="9533" width="29.7109375" style="160" customWidth="1"/>
    <col min="9534" max="9536" width="22.7109375" style="160" customWidth="1"/>
    <col min="9537" max="9537" width="30.7109375" style="160" customWidth="1"/>
    <col min="9538" max="9728" width="8.85546875" style="160"/>
    <col min="9729" max="9729" width="2.7109375" style="160" customWidth="1"/>
    <col min="9730" max="9730" width="10.7109375" style="160" customWidth="1"/>
    <col min="9731" max="9731" width="32.7109375" style="160" customWidth="1"/>
    <col min="9732" max="9734" width="22.7109375" style="160" customWidth="1"/>
    <col min="9735" max="9735" width="30.7109375" style="160" customWidth="1"/>
    <col min="9736" max="9736" width="2.7109375" style="160" customWidth="1"/>
    <col min="9737" max="9737" width="10.7109375" style="160" customWidth="1"/>
    <col min="9738" max="9738" width="32.7109375" style="160" customWidth="1"/>
    <col min="9739" max="9741" width="22.7109375" style="160" customWidth="1"/>
    <col min="9742" max="9742" width="30.7109375" style="160" customWidth="1"/>
    <col min="9743" max="9743" width="2.7109375" style="160" customWidth="1"/>
    <col min="9744" max="9744" width="10.7109375" style="160" customWidth="1"/>
    <col min="9745" max="9745" width="32.7109375" style="160" customWidth="1"/>
    <col min="9746" max="9748" width="22.7109375" style="160" customWidth="1"/>
    <col min="9749" max="9749" width="30.7109375" style="160" customWidth="1"/>
    <col min="9750" max="9751" width="2.7109375" style="160" customWidth="1"/>
    <col min="9752" max="9752" width="10.7109375" style="160" customWidth="1"/>
    <col min="9753" max="9753" width="29.7109375" style="160" customWidth="1"/>
    <col min="9754" max="9756" width="22.7109375" style="160" customWidth="1"/>
    <col min="9757" max="9757" width="30.7109375" style="160" customWidth="1"/>
    <col min="9758" max="9758" width="2.7109375" style="160" customWidth="1"/>
    <col min="9759" max="9759" width="10.7109375" style="160" customWidth="1"/>
    <col min="9760" max="9760" width="29.7109375" style="160" customWidth="1"/>
    <col min="9761" max="9763" width="22.7109375" style="160" customWidth="1"/>
    <col min="9764" max="9764" width="30.7109375" style="160" customWidth="1"/>
    <col min="9765" max="9765" width="2.7109375" style="160" customWidth="1"/>
    <col min="9766" max="9766" width="10.7109375" style="160" customWidth="1"/>
    <col min="9767" max="9767" width="29.7109375" style="160" customWidth="1"/>
    <col min="9768" max="9770" width="22.7109375" style="160" customWidth="1"/>
    <col min="9771" max="9771" width="30.7109375" style="160" customWidth="1"/>
    <col min="9772" max="9773" width="2.7109375" style="160" customWidth="1"/>
    <col min="9774" max="9774" width="10.7109375" style="160" customWidth="1"/>
    <col min="9775" max="9775" width="29.7109375" style="160" customWidth="1"/>
    <col min="9776" max="9778" width="22.7109375" style="160" customWidth="1"/>
    <col min="9779" max="9779" width="30.7109375" style="160" customWidth="1"/>
    <col min="9780" max="9780" width="2.7109375" style="160" customWidth="1"/>
    <col min="9781" max="9781" width="10.7109375" style="160" customWidth="1"/>
    <col min="9782" max="9782" width="29.7109375" style="160" customWidth="1"/>
    <col min="9783" max="9785" width="22.7109375" style="160" customWidth="1"/>
    <col min="9786" max="9786" width="30.7109375" style="160" customWidth="1"/>
    <col min="9787" max="9787" width="2.7109375" style="160" customWidth="1"/>
    <col min="9788" max="9788" width="10.7109375" style="160" customWidth="1"/>
    <col min="9789" max="9789" width="29.7109375" style="160" customWidth="1"/>
    <col min="9790" max="9792" width="22.7109375" style="160" customWidth="1"/>
    <col min="9793" max="9793" width="30.7109375" style="160" customWidth="1"/>
    <col min="9794" max="9984" width="8.85546875" style="160"/>
    <col min="9985" max="9985" width="2.7109375" style="160" customWidth="1"/>
    <col min="9986" max="9986" width="10.7109375" style="160" customWidth="1"/>
    <col min="9987" max="9987" width="32.7109375" style="160" customWidth="1"/>
    <col min="9988" max="9990" width="22.7109375" style="160" customWidth="1"/>
    <col min="9991" max="9991" width="30.7109375" style="160" customWidth="1"/>
    <col min="9992" max="9992" width="2.7109375" style="160" customWidth="1"/>
    <col min="9993" max="9993" width="10.7109375" style="160" customWidth="1"/>
    <col min="9994" max="9994" width="32.7109375" style="160" customWidth="1"/>
    <col min="9995" max="9997" width="22.7109375" style="160" customWidth="1"/>
    <col min="9998" max="9998" width="30.7109375" style="160" customWidth="1"/>
    <col min="9999" max="9999" width="2.7109375" style="160" customWidth="1"/>
    <col min="10000" max="10000" width="10.7109375" style="160" customWidth="1"/>
    <col min="10001" max="10001" width="32.7109375" style="160" customWidth="1"/>
    <col min="10002" max="10004" width="22.7109375" style="160" customWidth="1"/>
    <col min="10005" max="10005" width="30.7109375" style="160" customWidth="1"/>
    <col min="10006" max="10007" width="2.7109375" style="160" customWidth="1"/>
    <col min="10008" max="10008" width="10.7109375" style="160" customWidth="1"/>
    <col min="10009" max="10009" width="29.7109375" style="160" customWidth="1"/>
    <col min="10010" max="10012" width="22.7109375" style="160" customWidth="1"/>
    <col min="10013" max="10013" width="30.7109375" style="160" customWidth="1"/>
    <col min="10014" max="10014" width="2.7109375" style="160" customWidth="1"/>
    <col min="10015" max="10015" width="10.7109375" style="160" customWidth="1"/>
    <col min="10016" max="10016" width="29.7109375" style="160" customWidth="1"/>
    <col min="10017" max="10019" width="22.7109375" style="160" customWidth="1"/>
    <col min="10020" max="10020" width="30.7109375" style="160" customWidth="1"/>
    <col min="10021" max="10021" width="2.7109375" style="160" customWidth="1"/>
    <col min="10022" max="10022" width="10.7109375" style="160" customWidth="1"/>
    <col min="10023" max="10023" width="29.7109375" style="160" customWidth="1"/>
    <col min="10024" max="10026" width="22.7109375" style="160" customWidth="1"/>
    <col min="10027" max="10027" width="30.7109375" style="160" customWidth="1"/>
    <col min="10028" max="10029" width="2.7109375" style="160" customWidth="1"/>
    <col min="10030" max="10030" width="10.7109375" style="160" customWidth="1"/>
    <col min="10031" max="10031" width="29.7109375" style="160" customWidth="1"/>
    <col min="10032" max="10034" width="22.7109375" style="160" customWidth="1"/>
    <col min="10035" max="10035" width="30.7109375" style="160" customWidth="1"/>
    <col min="10036" max="10036" width="2.7109375" style="160" customWidth="1"/>
    <col min="10037" max="10037" width="10.7109375" style="160" customWidth="1"/>
    <col min="10038" max="10038" width="29.7109375" style="160" customWidth="1"/>
    <col min="10039" max="10041" width="22.7109375" style="160" customWidth="1"/>
    <col min="10042" max="10042" width="30.7109375" style="160" customWidth="1"/>
    <col min="10043" max="10043" width="2.7109375" style="160" customWidth="1"/>
    <col min="10044" max="10044" width="10.7109375" style="160" customWidth="1"/>
    <col min="10045" max="10045" width="29.7109375" style="160" customWidth="1"/>
    <col min="10046" max="10048" width="22.7109375" style="160" customWidth="1"/>
    <col min="10049" max="10049" width="30.7109375" style="160" customWidth="1"/>
    <col min="10050" max="10240" width="8.85546875" style="160"/>
    <col min="10241" max="10241" width="2.7109375" style="160" customWidth="1"/>
    <col min="10242" max="10242" width="10.7109375" style="160" customWidth="1"/>
    <col min="10243" max="10243" width="32.7109375" style="160" customWidth="1"/>
    <col min="10244" max="10246" width="22.7109375" style="160" customWidth="1"/>
    <col min="10247" max="10247" width="30.7109375" style="160" customWidth="1"/>
    <col min="10248" max="10248" width="2.7109375" style="160" customWidth="1"/>
    <col min="10249" max="10249" width="10.7109375" style="160" customWidth="1"/>
    <col min="10250" max="10250" width="32.7109375" style="160" customWidth="1"/>
    <col min="10251" max="10253" width="22.7109375" style="160" customWidth="1"/>
    <col min="10254" max="10254" width="30.7109375" style="160" customWidth="1"/>
    <col min="10255" max="10255" width="2.7109375" style="160" customWidth="1"/>
    <col min="10256" max="10256" width="10.7109375" style="160" customWidth="1"/>
    <col min="10257" max="10257" width="32.7109375" style="160" customWidth="1"/>
    <col min="10258" max="10260" width="22.7109375" style="160" customWidth="1"/>
    <col min="10261" max="10261" width="30.7109375" style="160" customWidth="1"/>
    <col min="10262" max="10263" width="2.7109375" style="160" customWidth="1"/>
    <col min="10264" max="10264" width="10.7109375" style="160" customWidth="1"/>
    <col min="10265" max="10265" width="29.7109375" style="160" customWidth="1"/>
    <col min="10266" max="10268" width="22.7109375" style="160" customWidth="1"/>
    <col min="10269" max="10269" width="30.7109375" style="160" customWidth="1"/>
    <col min="10270" max="10270" width="2.7109375" style="160" customWidth="1"/>
    <col min="10271" max="10271" width="10.7109375" style="160" customWidth="1"/>
    <col min="10272" max="10272" width="29.7109375" style="160" customWidth="1"/>
    <col min="10273" max="10275" width="22.7109375" style="160" customWidth="1"/>
    <col min="10276" max="10276" width="30.7109375" style="160" customWidth="1"/>
    <col min="10277" max="10277" width="2.7109375" style="160" customWidth="1"/>
    <col min="10278" max="10278" width="10.7109375" style="160" customWidth="1"/>
    <col min="10279" max="10279" width="29.7109375" style="160" customWidth="1"/>
    <col min="10280" max="10282" width="22.7109375" style="160" customWidth="1"/>
    <col min="10283" max="10283" width="30.7109375" style="160" customWidth="1"/>
    <col min="10284" max="10285" width="2.7109375" style="160" customWidth="1"/>
    <col min="10286" max="10286" width="10.7109375" style="160" customWidth="1"/>
    <col min="10287" max="10287" width="29.7109375" style="160" customWidth="1"/>
    <col min="10288" max="10290" width="22.7109375" style="160" customWidth="1"/>
    <col min="10291" max="10291" width="30.7109375" style="160" customWidth="1"/>
    <col min="10292" max="10292" width="2.7109375" style="160" customWidth="1"/>
    <col min="10293" max="10293" width="10.7109375" style="160" customWidth="1"/>
    <col min="10294" max="10294" width="29.7109375" style="160" customWidth="1"/>
    <col min="10295" max="10297" width="22.7109375" style="160" customWidth="1"/>
    <col min="10298" max="10298" width="30.7109375" style="160" customWidth="1"/>
    <col min="10299" max="10299" width="2.7109375" style="160" customWidth="1"/>
    <col min="10300" max="10300" width="10.7109375" style="160" customWidth="1"/>
    <col min="10301" max="10301" width="29.7109375" style="160" customWidth="1"/>
    <col min="10302" max="10304" width="22.7109375" style="160" customWidth="1"/>
    <col min="10305" max="10305" width="30.7109375" style="160" customWidth="1"/>
    <col min="10306" max="10496" width="8.85546875" style="160"/>
    <col min="10497" max="10497" width="2.7109375" style="160" customWidth="1"/>
    <col min="10498" max="10498" width="10.7109375" style="160" customWidth="1"/>
    <col min="10499" max="10499" width="32.7109375" style="160" customWidth="1"/>
    <col min="10500" max="10502" width="22.7109375" style="160" customWidth="1"/>
    <col min="10503" max="10503" width="30.7109375" style="160" customWidth="1"/>
    <col min="10504" max="10504" width="2.7109375" style="160" customWidth="1"/>
    <col min="10505" max="10505" width="10.7109375" style="160" customWidth="1"/>
    <col min="10506" max="10506" width="32.7109375" style="160" customWidth="1"/>
    <col min="10507" max="10509" width="22.7109375" style="160" customWidth="1"/>
    <col min="10510" max="10510" width="30.7109375" style="160" customWidth="1"/>
    <col min="10511" max="10511" width="2.7109375" style="160" customWidth="1"/>
    <col min="10512" max="10512" width="10.7109375" style="160" customWidth="1"/>
    <col min="10513" max="10513" width="32.7109375" style="160" customWidth="1"/>
    <col min="10514" max="10516" width="22.7109375" style="160" customWidth="1"/>
    <col min="10517" max="10517" width="30.7109375" style="160" customWidth="1"/>
    <col min="10518" max="10519" width="2.7109375" style="160" customWidth="1"/>
    <col min="10520" max="10520" width="10.7109375" style="160" customWidth="1"/>
    <col min="10521" max="10521" width="29.7109375" style="160" customWidth="1"/>
    <col min="10522" max="10524" width="22.7109375" style="160" customWidth="1"/>
    <col min="10525" max="10525" width="30.7109375" style="160" customWidth="1"/>
    <col min="10526" max="10526" width="2.7109375" style="160" customWidth="1"/>
    <col min="10527" max="10527" width="10.7109375" style="160" customWidth="1"/>
    <col min="10528" max="10528" width="29.7109375" style="160" customWidth="1"/>
    <col min="10529" max="10531" width="22.7109375" style="160" customWidth="1"/>
    <col min="10532" max="10532" width="30.7109375" style="160" customWidth="1"/>
    <col min="10533" max="10533" width="2.7109375" style="160" customWidth="1"/>
    <col min="10534" max="10534" width="10.7109375" style="160" customWidth="1"/>
    <col min="10535" max="10535" width="29.7109375" style="160" customWidth="1"/>
    <col min="10536" max="10538" width="22.7109375" style="160" customWidth="1"/>
    <col min="10539" max="10539" width="30.7109375" style="160" customWidth="1"/>
    <col min="10540" max="10541" width="2.7109375" style="160" customWidth="1"/>
    <col min="10542" max="10542" width="10.7109375" style="160" customWidth="1"/>
    <col min="10543" max="10543" width="29.7109375" style="160" customWidth="1"/>
    <col min="10544" max="10546" width="22.7109375" style="160" customWidth="1"/>
    <col min="10547" max="10547" width="30.7109375" style="160" customWidth="1"/>
    <col min="10548" max="10548" width="2.7109375" style="160" customWidth="1"/>
    <col min="10549" max="10549" width="10.7109375" style="160" customWidth="1"/>
    <col min="10550" max="10550" width="29.7109375" style="160" customWidth="1"/>
    <col min="10551" max="10553" width="22.7109375" style="160" customWidth="1"/>
    <col min="10554" max="10554" width="30.7109375" style="160" customWidth="1"/>
    <col min="10555" max="10555" width="2.7109375" style="160" customWidth="1"/>
    <col min="10556" max="10556" width="10.7109375" style="160" customWidth="1"/>
    <col min="10557" max="10557" width="29.7109375" style="160" customWidth="1"/>
    <col min="10558" max="10560" width="22.7109375" style="160" customWidth="1"/>
    <col min="10561" max="10561" width="30.7109375" style="160" customWidth="1"/>
    <col min="10562" max="10752" width="8.85546875" style="160"/>
    <col min="10753" max="10753" width="2.7109375" style="160" customWidth="1"/>
    <col min="10754" max="10754" width="10.7109375" style="160" customWidth="1"/>
    <col min="10755" max="10755" width="32.7109375" style="160" customWidth="1"/>
    <col min="10756" max="10758" width="22.7109375" style="160" customWidth="1"/>
    <col min="10759" max="10759" width="30.7109375" style="160" customWidth="1"/>
    <col min="10760" max="10760" width="2.7109375" style="160" customWidth="1"/>
    <col min="10761" max="10761" width="10.7109375" style="160" customWidth="1"/>
    <col min="10762" max="10762" width="32.7109375" style="160" customWidth="1"/>
    <col min="10763" max="10765" width="22.7109375" style="160" customWidth="1"/>
    <col min="10766" max="10766" width="30.7109375" style="160" customWidth="1"/>
    <col min="10767" max="10767" width="2.7109375" style="160" customWidth="1"/>
    <col min="10768" max="10768" width="10.7109375" style="160" customWidth="1"/>
    <col min="10769" max="10769" width="32.7109375" style="160" customWidth="1"/>
    <col min="10770" max="10772" width="22.7109375" style="160" customWidth="1"/>
    <col min="10773" max="10773" width="30.7109375" style="160" customWidth="1"/>
    <col min="10774" max="10775" width="2.7109375" style="160" customWidth="1"/>
    <col min="10776" max="10776" width="10.7109375" style="160" customWidth="1"/>
    <col min="10777" max="10777" width="29.7109375" style="160" customWidth="1"/>
    <col min="10778" max="10780" width="22.7109375" style="160" customWidth="1"/>
    <col min="10781" max="10781" width="30.7109375" style="160" customWidth="1"/>
    <col min="10782" max="10782" width="2.7109375" style="160" customWidth="1"/>
    <col min="10783" max="10783" width="10.7109375" style="160" customWidth="1"/>
    <col min="10784" max="10784" width="29.7109375" style="160" customWidth="1"/>
    <col min="10785" max="10787" width="22.7109375" style="160" customWidth="1"/>
    <col min="10788" max="10788" width="30.7109375" style="160" customWidth="1"/>
    <col min="10789" max="10789" width="2.7109375" style="160" customWidth="1"/>
    <col min="10790" max="10790" width="10.7109375" style="160" customWidth="1"/>
    <col min="10791" max="10791" width="29.7109375" style="160" customWidth="1"/>
    <col min="10792" max="10794" width="22.7109375" style="160" customWidth="1"/>
    <col min="10795" max="10795" width="30.7109375" style="160" customWidth="1"/>
    <col min="10796" max="10797" width="2.7109375" style="160" customWidth="1"/>
    <col min="10798" max="10798" width="10.7109375" style="160" customWidth="1"/>
    <col min="10799" max="10799" width="29.7109375" style="160" customWidth="1"/>
    <col min="10800" max="10802" width="22.7109375" style="160" customWidth="1"/>
    <col min="10803" max="10803" width="30.7109375" style="160" customWidth="1"/>
    <col min="10804" max="10804" width="2.7109375" style="160" customWidth="1"/>
    <col min="10805" max="10805" width="10.7109375" style="160" customWidth="1"/>
    <col min="10806" max="10806" width="29.7109375" style="160" customWidth="1"/>
    <col min="10807" max="10809" width="22.7109375" style="160" customWidth="1"/>
    <col min="10810" max="10810" width="30.7109375" style="160" customWidth="1"/>
    <col min="10811" max="10811" width="2.7109375" style="160" customWidth="1"/>
    <col min="10812" max="10812" width="10.7109375" style="160" customWidth="1"/>
    <col min="10813" max="10813" width="29.7109375" style="160" customWidth="1"/>
    <col min="10814" max="10816" width="22.7109375" style="160" customWidth="1"/>
    <col min="10817" max="10817" width="30.7109375" style="160" customWidth="1"/>
    <col min="10818" max="11008" width="8.85546875" style="160"/>
    <col min="11009" max="11009" width="2.7109375" style="160" customWidth="1"/>
    <col min="11010" max="11010" width="10.7109375" style="160" customWidth="1"/>
    <col min="11011" max="11011" width="32.7109375" style="160" customWidth="1"/>
    <col min="11012" max="11014" width="22.7109375" style="160" customWidth="1"/>
    <col min="11015" max="11015" width="30.7109375" style="160" customWidth="1"/>
    <col min="11016" max="11016" width="2.7109375" style="160" customWidth="1"/>
    <col min="11017" max="11017" width="10.7109375" style="160" customWidth="1"/>
    <col min="11018" max="11018" width="32.7109375" style="160" customWidth="1"/>
    <col min="11019" max="11021" width="22.7109375" style="160" customWidth="1"/>
    <col min="11022" max="11022" width="30.7109375" style="160" customWidth="1"/>
    <col min="11023" max="11023" width="2.7109375" style="160" customWidth="1"/>
    <col min="11024" max="11024" width="10.7109375" style="160" customWidth="1"/>
    <col min="11025" max="11025" width="32.7109375" style="160" customWidth="1"/>
    <col min="11026" max="11028" width="22.7109375" style="160" customWidth="1"/>
    <col min="11029" max="11029" width="30.7109375" style="160" customWidth="1"/>
    <col min="11030" max="11031" width="2.7109375" style="160" customWidth="1"/>
    <col min="11032" max="11032" width="10.7109375" style="160" customWidth="1"/>
    <col min="11033" max="11033" width="29.7109375" style="160" customWidth="1"/>
    <col min="11034" max="11036" width="22.7109375" style="160" customWidth="1"/>
    <col min="11037" max="11037" width="30.7109375" style="160" customWidth="1"/>
    <col min="11038" max="11038" width="2.7109375" style="160" customWidth="1"/>
    <col min="11039" max="11039" width="10.7109375" style="160" customWidth="1"/>
    <col min="11040" max="11040" width="29.7109375" style="160" customWidth="1"/>
    <col min="11041" max="11043" width="22.7109375" style="160" customWidth="1"/>
    <col min="11044" max="11044" width="30.7109375" style="160" customWidth="1"/>
    <col min="11045" max="11045" width="2.7109375" style="160" customWidth="1"/>
    <col min="11046" max="11046" width="10.7109375" style="160" customWidth="1"/>
    <col min="11047" max="11047" width="29.7109375" style="160" customWidth="1"/>
    <col min="11048" max="11050" width="22.7109375" style="160" customWidth="1"/>
    <col min="11051" max="11051" width="30.7109375" style="160" customWidth="1"/>
    <col min="11052" max="11053" width="2.7109375" style="160" customWidth="1"/>
    <col min="11054" max="11054" width="10.7109375" style="160" customWidth="1"/>
    <col min="11055" max="11055" width="29.7109375" style="160" customWidth="1"/>
    <col min="11056" max="11058" width="22.7109375" style="160" customWidth="1"/>
    <col min="11059" max="11059" width="30.7109375" style="160" customWidth="1"/>
    <col min="11060" max="11060" width="2.7109375" style="160" customWidth="1"/>
    <col min="11061" max="11061" width="10.7109375" style="160" customWidth="1"/>
    <col min="11062" max="11062" width="29.7109375" style="160" customWidth="1"/>
    <col min="11063" max="11065" width="22.7109375" style="160" customWidth="1"/>
    <col min="11066" max="11066" width="30.7109375" style="160" customWidth="1"/>
    <col min="11067" max="11067" width="2.7109375" style="160" customWidth="1"/>
    <col min="11068" max="11068" width="10.7109375" style="160" customWidth="1"/>
    <col min="11069" max="11069" width="29.7109375" style="160" customWidth="1"/>
    <col min="11070" max="11072" width="22.7109375" style="160" customWidth="1"/>
    <col min="11073" max="11073" width="30.7109375" style="160" customWidth="1"/>
    <col min="11074" max="11264" width="8.85546875" style="160"/>
    <col min="11265" max="11265" width="2.7109375" style="160" customWidth="1"/>
    <col min="11266" max="11266" width="10.7109375" style="160" customWidth="1"/>
    <col min="11267" max="11267" width="32.7109375" style="160" customWidth="1"/>
    <col min="11268" max="11270" width="22.7109375" style="160" customWidth="1"/>
    <col min="11271" max="11271" width="30.7109375" style="160" customWidth="1"/>
    <col min="11272" max="11272" width="2.7109375" style="160" customWidth="1"/>
    <col min="11273" max="11273" width="10.7109375" style="160" customWidth="1"/>
    <col min="11274" max="11274" width="32.7109375" style="160" customWidth="1"/>
    <col min="11275" max="11277" width="22.7109375" style="160" customWidth="1"/>
    <col min="11278" max="11278" width="30.7109375" style="160" customWidth="1"/>
    <col min="11279" max="11279" width="2.7109375" style="160" customWidth="1"/>
    <col min="11280" max="11280" width="10.7109375" style="160" customWidth="1"/>
    <col min="11281" max="11281" width="32.7109375" style="160" customWidth="1"/>
    <col min="11282" max="11284" width="22.7109375" style="160" customWidth="1"/>
    <col min="11285" max="11285" width="30.7109375" style="160" customWidth="1"/>
    <col min="11286" max="11287" width="2.7109375" style="160" customWidth="1"/>
    <col min="11288" max="11288" width="10.7109375" style="160" customWidth="1"/>
    <col min="11289" max="11289" width="29.7109375" style="160" customWidth="1"/>
    <col min="11290" max="11292" width="22.7109375" style="160" customWidth="1"/>
    <col min="11293" max="11293" width="30.7109375" style="160" customWidth="1"/>
    <col min="11294" max="11294" width="2.7109375" style="160" customWidth="1"/>
    <col min="11295" max="11295" width="10.7109375" style="160" customWidth="1"/>
    <col min="11296" max="11296" width="29.7109375" style="160" customWidth="1"/>
    <col min="11297" max="11299" width="22.7109375" style="160" customWidth="1"/>
    <col min="11300" max="11300" width="30.7109375" style="160" customWidth="1"/>
    <col min="11301" max="11301" width="2.7109375" style="160" customWidth="1"/>
    <col min="11302" max="11302" width="10.7109375" style="160" customWidth="1"/>
    <col min="11303" max="11303" width="29.7109375" style="160" customWidth="1"/>
    <col min="11304" max="11306" width="22.7109375" style="160" customWidth="1"/>
    <col min="11307" max="11307" width="30.7109375" style="160" customWidth="1"/>
    <col min="11308" max="11309" width="2.7109375" style="160" customWidth="1"/>
    <col min="11310" max="11310" width="10.7109375" style="160" customWidth="1"/>
    <col min="11311" max="11311" width="29.7109375" style="160" customWidth="1"/>
    <col min="11312" max="11314" width="22.7109375" style="160" customWidth="1"/>
    <col min="11315" max="11315" width="30.7109375" style="160" customWidth="1"/>
    <col min="11316" max="11316" width="2.7109375" style="160" customWidth="1"/>
    <col min="11317" max="11317" width="10.7109375" style="160" customWidth="1"/>
    <col min="11318" max="11318" width="29.7109375" style="160" customWidth="1"/>
    <col min="11319" max="11321" width="22.7109375" style="160" customWidth="1"/>
    <col min="11322" max="11322" width="30.7109375" style="160" customWidth="1"/>
    <col min="11323" max="11323" width="2.7109375" style="160" customWidth="1"/>
    <col min="11324" max="11324" width="10.7109375" style="160" customWidth="1"/>
    <col min="11325" max="11325" width="29.7109375" style="160" customWidth="1"/>
    <col min="11326" max="11328" width="22.7109375" style="160" customWidth="1"/>
    <col min="11329" max="11329" width="30.7109375" style="160" customWidth="1"/>
    <col min="11330" max="11520" width="8.85546875" style="160"/>
    <col min="11521" max="11521" width="2.7109375" style="160" customWidth="1"/>
    <col min="11522" max="11522" width="10.7109375" style="160" customWidth="1"/>
    <col min="11523" max="11523" width="32.7109375" style="160" customWidth="1"/>
    <col min="11524" max="11526" width="22.7109375" style="160" customWidth="1"/>
    <col min="11527" max="11527" width="30.7109375" style="160" customWidth="1"/>
    <col min="11528" max="11528" width="2.7109375" style="160" customWidth="1"/>
    <col min="11529" max="11529" width="10.7109375" style="160" customWidth="1"/>
    <col min="11530" max="11530" width="32.7109375" style="160" customWidth="1"/>
    <col min="11531" max="11533" width="22.7109375" style="160" customWidth="1"/>
    <col min="11534" max="11534" width="30.7109375" style="160" customWidth="1"/>
    <col min="11535" max="11535" width="2.7109375" style="160" customWidth="1"/>
    <col min="11536" max="11536" width="10.7109375" style="160" customWidth="1"/>
    <col min="11537" max="11537" width="32.7109375" style="160" customWidth="1"/>
    <col min="11538" max="11540" width="22.7109375" style="160" customWidth="1"/>
    <col min="11541" max="11541" width="30.7109375" style="160" customWidth="1"/>
    <col min="11542" max="11543" width="2.7109375" style="160" customWidth="1"/>
    <col min="11544" max="11544" width="10.7109375" style="160" customWidth="1"/>
    <col min="11545" max="11545" width="29.7109375" style="160" customWidth="1"/>
    <col min="11546" max="11548" width="22.7109375" style="160" customWidth="1"/>
    <col min="11549" max="11549" width="30.7109375" style="160" customWidth="1"/>
    <col min="11550" max="11550" width="2.7109375" style="160" customWidth="1"/>
    <col min="11551" max="11551" width="10.7109375" style="160" customWidth="1"/>
    <col min="11552" max="11552" width="29.7109375" style="160" customWidth="1"/>
    <col min="11553" max="11555" width="22.7109375" style="160" customWidth="1"/>
    <col min="11556" max="11556" width="30.7109375" style="160" customWidth="1"/>
    <col min="11557" max="11557" width="2.7109375" style="160" customWidth="1"/>
    <col min="11558" max="11558" width="10.7109375" style="160" customWidth="1"/>
    <col min="11559" max="11559" width="29.7109375" style="160" customWidth="1"/>
    <col min="11560" max="11562" width="22.7109375" style="160" customWidth="1"/>
    <col min="11563" max="11563" width="30.7109375" style="160" customWidth="1"/>
    <col min="11564" max="11565" width="2.7109375" style="160" customWidth="1"/>
    <col min="11566" max="11566" width="10.7109375" style="160" customWidth="1"/>
    <col min="11567" max="11567" width="29.7109375" style="160" customWidth="1"/>
    <col min="11568" max="11570" width="22.7109375" style="160" customWidth="1"/>
    <col min="11571" max="11571" width="30.7109375" style="160" customWidth="1"/>
    <col min="11572" max="11572" width="2.7109375" style="160" customWidth="1"/>
    <col min="11573" max="11573" width="10.7109375" style="160" customWidth="1"/>
    <col min="11574" max="11574" width="29.7109375" style="160" customWidth="1"/>
    <col min="11575" max="11577" width="22.7109375" style="160" customWidth="1"/>
    <col min="11578" max="11578" width="30.7109375" style="160" customWidth="1"/>
    <col min="11579" max="11579" width="2.7109375" style="160" customWidth="1"/>
    <col min="11580" max="11580" width="10.7109375" style="160" customWidth="1"/>
    <col min="11581" max="11581" width="29.7109375" style="160" customWidth="1"/>
    <col min="11582" max="11584" width="22.7109375" style="160" customWidth="1"/>
    <col min="11585" max="11585" width="30.7109375" style="160" customWidth="1"/>
    <col min="11586" max="11776" width="8.85546875" style="160"/>
    <col min="11777" max="11777" width="2.7109375" style="160" customWidth="1"/>
    <col min="11778" max="11778" width="10.7109375" style="160" customWidth="1"/>
    <col min="11779" max="11779" width="32.7109375" style="160" customWidth="1"/>
    <col min="11780" max="11782" width="22.7109375" style="160" customWidth="1"/>
    <col min="11783" max="11783" width="30.7109375" style="160" customWidth="1"/>
    <col min="11784" max="11784" width="2.7109375" style="160" customWidth="1"/>
    <col min="11785" max="11785" width="10.7109375" style="160" customWidth="1"/>
    <col min="11786" max="11786" width="32.7109375" style="160" customWidth="1"/>
    <col min="11787" max="11789" width="22.7109375" style="160" customWidth="1"/>
    <col min="11790" max="11790" width="30.7109375" style="160" customWidth="1"/>
    <col min="11791" max="11791" width="2.7109375" style="160" customWidth="1"/>
    <col min="11792" max="11792" width="10.7109375" style="160" customWidth="1"/>
    <col min="11793" max="11793" width="32.7109375" style="160" customWidth="1"/>
    <col min="11794" max="11796" width="22.7109375" style="160" customWidth="1"/>
    <col min="11797" max="11797" width="30.7109375" style="160" customWidth="1"/>
    <col min="11798" max="11799" width="2.7109375" style="160" customWidth="1"/>
    <col min="11800" max="11800" width="10.7109375" style="160" customWidth="1"/>
    <col min="11801" max="11801" width="29.7109375" style="160" customWidth="1"/>
    <col min="11802" max="11804" width="22.7109375" style="160" customWidth="1"/>
    <col min="11805" max="11805" width="30.7109375" style="160" customWidth="1"/>
    <col min="11806" max="11806" width="2.7109375" style="160" customWidth="1"/>
    <col min="11807" max="11807" width="10.7109375" style="160" customWidth="1"/>
    <col min="11808" max="11808" width="29.7109375" style="160" customWidth="1"/>
    <col min="11809" max="11811" width="22.7109375" style="160" customWidth="1"/>
    <col min="11812" max="11812" width="30.7109375" style="160" customWidth="1"/>
    <col min="11813" max="11813" width="2.7109375" style="160" customWidth="1"/>
    <col min="11814" max="11814" width="10.7109375" style="160" customWidth="1"/>
    <col min="11815" max="11815" width="29.7109375" style="160" customWidth="1"/>
    <col min="11816" max="11818" width="22.7109375" style="160" customWidth="1"/>
    <col min="11819" max="11819" width="30.7109375" style="160" customWidth="1"/>
    <col min="11820" max="11821" width="2.7109375" style="160" customWidth="1"/>
    <col min="11822" max="11822" width="10.7109375" style="160" customWidth="1"/>
    <col min="11823" max="11823" width="29.7109375" style="160" customWidth="1"/>
    <col min="11824" max="11826" width="22.7109375" style="160" customWidth="1"/>
    <col min="11827" max="11827" width="30.7109375" style="160" customWidth="1"/>
    <col min="11828" max="11828" width="2.7109375" style="160" customWidth="1"/>
    <col min="11829" max="11829" width="10.7109375" style="160" customWidth="1"/>
    <col min="11830" max="11830" width="29.7109375" style="160" customWidth="1"/>
    <col min="11831" max="11833" width="22.7109375" style="160" customWidth="1"/>
    <col min="11834" max="11834" width="30.7109375" style="160" customWidth="1"/>
    <col min="11835" max="11835" width="2.7109375" style="160" customWidth="1"/>
    <col min="11836" max="11836" width="10.7109375" style="160" customWidth="1"/>
    <col min="11837" max="11837" width="29.7109375" style="160" customWidth="1"/>
    <col min="11838" max="11840" width="22.7109375" style="160" customWidth="1"/>
    <col min="11841" max="11841" width="30.7109375" style="160" customWidth="1"/>
    <col min="11842" max="12032" width="8.85546875" style="160"/>
    <col min="12033" max="12033" width="2.7109375" style="160" customWidth="1"/>
    <col min="12034" max="12034" width="10.7109375" style="160" customWidth="1"/>
    <col min="12035" max="12035" width="32.7109375" style="160" customWidth="1"/>
    <col min="12036" max="12038" width="22.7109375" style="160" customWidth="1"/>
    <col min="12039" max="12039" width="30.7109375" style="160" customWidth="1"/>
    <col min="12040" max="12040" width="2.7109375" style="160" customWidth="1"/>
    <col min="12041" max="12041" width="10.7109375" style="160" customWidth="1"/>
    <col min="12042" max="12042" width="32.7109375" style="160" customWidth="1"/>
    <col min="12043" max="12045" width="22.7109375" style="160" customWidth="1"/>
    <col min="12046" max="12046" width="30.7109375" style="160" customWidth="1"/>
    <col min="12047" max="12047" width="2.7109375" style="160" customWidth="1"/>
    <col min="12048" max="12048" width="10.7109375" style="160" customWidth="1"/>
    <col min="12049" max="12049" width="32.7109375" style="160" customWidth="1"/>
    <col min="12050" max="12052" width="22.7109375" style="160" customWidth="1"/>
    <col min="12053" max="12053" width="30.7109375" style="160" customWidth="1"/>
    <col min="12054" max="12055" width="2.7109375" style="160" customWidth="1"/>
    <col min="12056" max="12056" width="10.7109375" style="160" customWidth="1"/>
    <col min="12057" max="12057" width="29.7109375" style="160" customWidth="1"/>
    <col min="12058" max="12060" width="22.7109375" style="160" customWidth="1"/>
    <col min="12061" max="12061" width="30.7109375" style="160" customWidth="1"/>
    <col min="12062" max="12062" width="2.7109375" style="160" customWidth="1"/>
    <col min="12063" max="12063" width="10.7109375" style="160" customWidth="1"/>
    <col min="12064" max="12064" width="29.7109375" style="160" customWidth="1"/>
    <col min="12065" max="12067" width="22.7109375" style="160" customWidth="1"/>
    <col min="12068" max="12068" width="30.7109375" style="160" customWidth="1"/>
    <col min="12069" max="12069" width="2.7109375" style="160" customWidth="1"/>
    <col min="12070" max="12070" width="10.7109375" style="160" customWidth="1"/>
    <col min="12071" max="12071" width="29.7109375" style="160" customWidth="1"/>
    <col min="12072" max="12074" width="22.7109375" style="160" customWidth="1"/>
    <col min="12075" max="12075" width="30.7109375" style="160" customWidth="1"/>
    <col min="12076" max="12077" width="2.7109375" style="160" customWidth="1"/>
    <col min="12078" max="12078" width="10.7109375" style="160" customWidth="1"/>
    <col min="12079" max="12079" width="29.7109375" style="160" customWidth="1"/>
    <col min="12080" max="12082" width="22.7109375" style="160" customWidth="1"/>
    <col min="12083" max="12083" width="30.7109375" style="160" customWidth="1"/>
    <col min="12084" max="12084" width="2.7109375" style="160" customWidth="1"/>
    <col min="12085" max="12085" width="10.7109375" style="160" customWidth="1"/>
    <col min="12086" max="12086" width="29.7109375" style="160" customWidth="1"/>
    <col min="12087" max="12089" width="22.7109375" style="160" customWidth="1"/>
    <col min="12090" max="12090" width="30.7109375" style="160" customWidth="1"/>
    <col min="12091" max="12091" width="2.7109375" style="160" customWidth="1"/>
    <col min="12092" max="12092" width="10.7109375" style="160" customWidth="1"/>
    <col min="12093" max="12093" width="29.7109375" style="160" customWidth="1"/>
    <col min="12094" max="12096" width="22.7109375" style="160" customWidth="1"/>
    <col min="12097" max="12097" width="30.7109375" style="160" customWidth="1"/>
    <col min="12098" max="12288" width="8.85546875" style="160"/>
    <col min="12289" max="12289" width="2.7109375" style="160" customWidth="1"/>
    <col min="12290" max="12290" width="10.7109375" style="160" customWidth="1"/>
    <col min="12291" max="12291" width="32.7109375" style="160" customWidth="1"/>
    <col min="12292" max="12294" width="22.7109375" style="160" customWidth="1"/>
    <col min="12295" max="12295" width="30.7109375" style="160" customWidth="1"/>
    <col min="12296" max="12296" width="2.7109375" style="160" customWidth="1"/>
    <col min="12297" max="12297" width="10.7109375" style="160" customWidth="1"/>
    <col min="12298" max="12298" width="32.7109375" style="160" customWidth="1"/>
    <col min="12299" max="12301" width="22.7109375" style="160" customWidth="1"/>
    <col min="12302" max="12302" width="30.7109375" style="160" customWidth="1"/>
    <col min="12303" max="12303" width="2.7109375" style="160" customWidth="1"/>
    <col min="12304" max="12304" width="10.7109375" style="160" customWidth="1"/>
    <col min="12305" max="12305" width="32.7109375" style="160" customWidth="1"/>
    <col min="12306" max="12308" width="22.7109375" style="160" customWidth="1"/>
    <col min="12309" max="12309" width="30.7109375" style="160" customWidth="1"/>
    <col min="12310" max="12311" width="2.7109375" style="160" customWidth="1"/>
    <col min="12312" max="12312" width="10.7109375" style="160" customWidth="1"/>
    <col min="12313" max="12313" width="29.7109375" style="160" customWidth="1"/>
    <col min="12314" max="12316" width="22.7109375" style="160" customWidth="1"/>
    <col min="12317" max="12317" width="30.7109375" style="160" customWidth="1"/>
    <col min="12318" max="12318" width="2.7109375" style="160" customWidth="1"/>
    <col min="12319" max="12319" width="10.7109375" style="160" customWidth="1"/>
    <col min="12320" max="12320" width="29.7109375" style="160" customWidth="1"/>
    <col min="12321" max="12323" width="22.7109375" style="160" customWidth="1"/>
    <col min="12324" max="12324" width="30.7109375" style="160" customWidth="1"/>
    <col min="12325" max="12325" width="2.7109375" style="160" customWidth="1"/>
    <col min="12326" max="12326" width="10.7109375" style="160" customWidth="1"/>
    <col min="12327" max="12327" width="29.7109375" style="160" customWidth="1"/>
    <col min="12328" max="12330" width="22.7109375" style="160" customWidth="1"/>
    <col min="12331" max="12331" width="30.7109375" style="160" customWidth="1"/>
    <col min="12332" max="12333" width="2.7109375" style="160" customWidth="1"/>
    <col min="12334" max="12334" width="10.7109375" style="160" customWidth="1"/>
    <col min="12335" max="12335" width="29.7109375" style="160" customWidth="1"/>
    <col min="12336" max="12338" width="22.7109375" style="160" customWidth="1"/>
    <col min="12339" max="12339" width="30.7109375" style="160" customWidth="1"/>
    <col min="12340" max="12340" width="2.7109375" style="160" customWidth="1"/>
    <col min="12341" max="12341" width="10.7109375" style="160" customWidth="1"/>
    <col min="12342" max="12342" width="29.7109375" style="160" customWidth="1"/>
    <col min="12343" max="12345" width="22.7109375" style="160" customWidth="1"/>
    <col min="12346" max="12346" width="30.7109375" style="160" customWidth="1"/>
    <col min="12347" max="12347" width="2.7109375" style="160" customWidth="1"/>
    <col min="12348" max="12348" width="10.7109375" style="160" customWidth="1"/>
    <col min="12349" max="12349" width="29.7109375" style="160" customWidth="1"/>
    <col min="12350" max="12352" width="22.7109375" style="160" customWidth="1"/>
    <col min="12353" max="12353" width="30.7109375" style="160" customWidth="1"/>
    <col min="12354" max="12544" width="8.85546875" style="160"/>
    <col min="12545" max="12545" width="2.7109375" style="160" customWidth="1"/>
    <col min="12546" max="12546" width="10.7109375" style="160" customWidth="1"/>
    <col min="12547" max="12547" width="32.7109375" style="160" customWidth="1"/>
    <col min="12548" max="12550" width="22.7109375" style="160" customWidth="1"/>
    <col min="12551" max="12551" width="30.7109375" style="160" customWidth="1"/>
    <col min="12552" max="12552" width="2.7109375" style="160" customWidth="1"/>
    <col min="12553" max="12553" width="10.7109375" style="160" customWidth="1"/>
    <col min="12554" max="12554" width="32.7109375" style="160" customWidth="1"/>
    <col min="12555" max="12557" width="22.7109375" style="160" customWidth="1"/>
    <col min="12558" max="12558" width="30.7109375" style="160" customWidth="1"/>
    <col min="12559" max="12559" width="2.7109375" style="160" customWidth="1"/>
    <col min="12560" max="12560" width="10.7109375" style="160" customWidth="1"/>
    <col min="12561" max="12561" width="32.7109375" style="160" customWidth="1"/>
    <col min="12562" max="12564" width="22.7109375" style="160" customWidth="1"/>
    <col min="12565" max="12565" width="30.7109375" style="160" customWidth="1"/>
    <col min="12566" max="12567" width="2.7109375" style="160" customWidth="1"/>
    <col min="12568" max="12568" width="10.7109375" style="160" customWidth="1"/>
    <col min="12569" max="12569" width="29.7109375" style="160" customWidth="1"/>
    <col min="12570" max="12572" width="22.7109375" style="160" customWidth="1"/>
    <col min="12573" max="12573" width="30.7109375" style="160" customWidth="1"/>
    <col min="12574" max="12574" width="2.7109375" style="160" customWidth="1"/>
    <col min="12575" max="12575" width="10.7109375" style="160" customWidth="1"/>
    <col min="12576" max="12576" width="29.7109375" style="160" customWidth="1"/>
    <col min="12577" max="12579" width="22.7109375" style="160" customWidth="1"/>
    <col min="12580" max="12580" width="30.7109375" style="160" customWidth="1"/>
    <col min="12581" max="12581" width="2.7109375" style="160" customWidth="1"/>
    <col min="12582" max="12582" width="10.7109375" style="160" customWidth="1"/>
    <col min="12583" max="12583" width="29.7109375" style="160" customWidth="1"/>
    <col min="12584" max="12586" width="22.7109375" style="160" customWidth="1"/>
    <col min="12587" max="12587" width="30.7109375" style="160" customWidth="1"/>
    <col min="12588" max="12589" width="2.7109375" style="160" customWidth="1"/>
    <col min="12590" max="12590" width="10.7109375" style="160" customWidth="1"/>
    <col min="12591" max="12591" width="29.7109375" style="160" customWidth="1"/>
    <col min="12592" max="12594" width="22.7109375" style="160" customWidth="1"/>
    <col min="12595" max="12595" width="30.7109375" style="160" customWidth="1"/>
    <col min="12596" max="12596" width="2.7109375" style="160" customWidth="1"/>
    <col min="12597" max="12597" width="10.7109375" style="160" customWidth="1"/>
    <col min="12598" max="12598" width="29.7109375" style="160" customWidth="1"/>
    <col min="12599" max="12601" width="22.7109375" style="160" customWidth="1"/>
    <col min="12602" max="12602" width="30.7109375" style="160" customWidth="1"/>
    <col min="12603" max="12603" width="2.7109375" style="160" customWidth="1"/>
    <col min="12604" max="12604" width="10.7109375" style="160" customWidth="1"/>
    <col min="12605" max="12605" width="29.7109375" style="160" customWidth="1"/>
    <col min="12606" max="12608" width="22.7109375" style="160" customWidth="1"/>
    <col min="12609" max="12609" width="30.7109375" style="160" customWidth="1"/>
    <col min="12610" max="12800" width="8.85546875" style="160"/>
    <col min="12801" max="12801" width="2.7109375" style="160" customWidth="1"/>
    <col min="12802" max="12802" width="10.7109375" style="160" customWidth="1"/>
    <col min="12803" max="12803" width="32.7109375" style="160" customWidth="1"/>
    <col min="12804" max="12806" width="22.7109375" style="160" customWidth="1"/>
    <col min="12807" max="12807" width="30.7109375" style="160" customWidth="1"/>
    <col min="12808" max="12808" width="2.7109375" style="160" customWidth="1"/>
    <col min="12809" max="12809" width="10.7109375" style="160" customWidth="1"/>
    <col min="12810" max="12810" width="32.7109375" style="160" customWidth="1"/>
    <col min="12811" max="12813" width="22.7109375" style="160" customWidth="1"/>
    <col min="12814" max="12814" width="30.7109375" style="160" customWidth="1"/>
    <col min="12815" max="12815" width="2.7109375" style="160" customWidth="1"/>
    <col min="12816" max="12816" width="10.7109375" style="160" customWidth="1"/>
    <col min="12817" max="12817" width="32.7109375" style="160" customWidth="1"/>
    <col min="12818" max="12820" width="22.7109375" style="160" customWidth="1"/>
    <col min="12821" max="12821" width="30.7109375" style="160" customWidth="1"/>
    <col min="12822" max="12823" width="2.7109375" style="160" customWidth="1"/>
    <col min="12824" max="12824" width="10.7109375" style="160" customWidth="1"/>
    <col min="12825" max="12825" width="29.7109375" style="160" customWidth="1"/>
    <col min="12826" max="12828" width="22.7109375" style="160" customWidth="1"/>
    <col min="12829" max="12829" width="30.7109375" style="160" customWidth="1"/>
    <col min="12830" max="12830" width="2.7109375" style="160" customWidth="1"/>
    <col min="12831" max="12831" width="10.7109375" style="160" customWidth="1"/>
    <col min="12832" max="12832" width="29.7109375" style="160" customWidth="1"/>
    <col min="12833" max="12835" width="22.7109375" style="160" customWidth="1"/>
    <col min="12836" max="12836" width="30.7109375" style="160" customWidth="1"/>
    <col min="12837" max="12837" width="2.7109375" style="160" customWidth="1"/>
    <col min="12838" max="12838" width="10.7109375" style="160" customWidth="1"/>
    <col min="12839" max="12839" width="29.7109375" style="160" customWidth="1"/>
    <col min="12840" max="12842" width="22.7109375" style="160" customWidth="1"/>
    <col min="12843" max="12843" width="30.7109375" style="160" customWidth="1"/>
    <col min="12844" max="12845" width="2.7109375" style="160" customWidth="1"/>
    <col min="12846" max="12846" width="10.7109375" style="160" customWidth="1"/>
    <col min="12847" max="12847" width="29.7109375" style="160" customWidth="1"/>
    <col min="12848" max="12850" width="22.7109375" style="160" customWidth="1"/>
    <col min="12851" max="12851" width="30.7109375" style="160" customWidth="1"/>
    <col min="12852" max="12852" width="2.7109375" style="160" customWidth="1"/>
    <col min="12853" max="12853" width="10.7109375" style="160" customWidth="1"/>
    <col min="12854" max="12854" width="29.7109375" style="160" customWidth="1"/>
    <col min="12855" max="12857" width="22.7109375" style="160" customWidth="1"/>
    <col min="12858" max="12858" width="30.7109375" style="160" customWidth="1"/>
    <col min="12859" max="12859" width="2.7109375" style="160" customWidth="1"/>
    <col min="12860" max="12860" width="10.7109375" style="160" customWidth="1"/>
    <col min="12861" max="12861" width="29.7109375" style="160" customWidth="1"/>
    <col min="12862" max="12864" width="22.7109375" style="160" customWidth="1"/>
    <col min="12865" max="12865" width="30.7109375" style="160" customWidth="1"/>
    <col min="12866" max="13056" width="8.85546875" style="160"/>
    <col min="13057" max="13057" width="2.7109375" style="160" customWidth="1"/>
    <col min="13058" max="13058" width="10.7109375" style="160" customWidth="1"/>
    <col min="13059" max="13059" width="32.7109375" style="160" customWidth="1"/>
    <col min="13060" max="13062" width="22.7109375" style="160" customWidth="1"/>
    <col min="13063" max="13063" width="30.7109375" style="160" customWidth="1"/>
    <col min="13064" max="13064" width="2.7109375" style="160" customWidth="1"/>
    <col min="13065" max="13065" width="10.7109375" style="160" customWidth="1"/>
    <col min="13066" max="13066" width="32.7109375" style="160" customWidth="1"/>
    <col min="13067" max="13069" width="22.7109375" style="160" customWidth="1"/>
    <col min="13070" max="13070" width="30.7109375" style="160" customWidth="1"/>
    <col min="13071" max="13071" width="2.7109375" style="160" customWidth="1"/>
    <col min="13072" max="13072" width="10.7109375" style="160" customWidth="1"/>
    <col min="13073" max="13073" width="32.7109375" style="160" customWidth="1"/>
    <col min="13074" max="13076" width="22.7109375" style="160" customWidth="1"/>
    <col min="13077" max="13077" width="30.7109375" style="160" customWidth="1"/>
    <col min="13078" max="13079" width="2.7109375" style="160" customWidth="1"/>
    <col min="13080" max="13080" width="10.7109375" style="160" customWidth="1"/>
    <col min="13081" max="13081" width="29.7109375" style="160" customWidth="1"/>
    <col min="13082" max="13084" width="22.7109375" style="160" customWidth="1"/>
    <col min="13085" max="13085" width="30.7109375" style="160" customWidth="1"/>
    <col min="13086" max="13086" width="2.7109375" style="160" customWidth="1"/>
    <col min="13087" max="13087" width="10.7109375" style="160" customWidth="1"/>
    <col min="13088" max="13088" width="29.7109375" style="160" customWidth="1"/>
    <col min="13089" max="13091" width="22.7109375" style="160" customWidth="1"/>
    <col min="13092" max="13092" width="30.7109375" style="160" customWidth="1"/>
    <col min="13093" max="13093" width="2.7109375" style="160" customWidth="1"/>
    <col min="13094" max="13094" width="10.7109375" style="160" customWidth="1"/>
    <col min="13095" max="13095" width="29.7109375" style="160" customWidth="1"/>
    <col min="13096" max="13098" width="22.7109375" style="160" customWidth="1"/>
    <col min="13099" max="13099" width="30.7109375" style="160" customWidth="1"/>
    <col min="13100" max="13101" width="2.7109375" style="160" customWidth="1"/>
    <col min="13102" max="13102" width="10.7109375" style="160" customWidth="1"/>
    <col min="13103" max="13103" width="29.7109375" style="160" customWidth="1"/>
    <col min="13104" max="13106" width="22.7109375" style="160" customWidth="1"/>
    <col min="13107" max="13107" width="30.7109375" style="160" customWidth="1"/>
    <col min="13108" max="13108" width="2.7109375" style="160" customWidth="1"/>
    <col min="13109" max="13109" width="10.7109375" style="160" customWidth="1"/>
    <col min="13110" max="13110" width="29.7109375" style="160" customWidth="1"/>
    <col min="13111" max="13113" width="22.7109375" style="160" customWidth="1"/>
    <col min="13114" max="13114" width="30.7109375" style="160" customWidth="1"/>
    <col min="13115" max="13115" width="2.7109375" style="160" customWidth="1"/>
    <col min="13116" max="13116" width="10.7109375" style="160" customWidth="1"/>
    <col min="13117" max="13117" width="29.7109375" style="160" customWidth="1"/>
    <col min="13118" max="13120" width="22.7109375" style="160" customWidth="1"/>
    <col min="13121" max="13121" width="30.7109375" style="160" customWidth="1"/>
    <col min="13122" max="13312" width="8.85546875" style="160"/>
    <col min="13313" max="13313" width="2.7109375" style="160" customWidth="1"/>
    <col min="13314" max="13314" width="10.7109375" style="160" customWidth="1"/>
    <col min="13315" max="13315" width="32.7109375" style="160" customWidth="1"/>
    <col min="13316" max="13318" width="22.7109375" style="160" customWidth="1"/>
    <col min="13319" max="13319" width="30.7109375" style="160" customWidth="1"/>
    <col min="13320" max="13320" width="2.7109375" style="160" customWidth="1"/>
    <col min="13321" max="13321" width="10.7109375" style="160" customWidth="1"/>
    <col min="13322" max="13322" width="32.7109375" style="160" customWidth="1"/>
    <col min="13323" max="13325" width="22.7109375" style="160" customWidth="1"/>
    <col min="13326" max="13326" width="30.7109375" style="160" customWidth="1"/>
    <col min="13327" max="13327" width="2.7109375" style="160" customWidth="1"/>
    <col min="13328" max="13328" width="10.7109375" style="160" customWidth="1"/>
    <col min="13329" max="13329" width="32.7109375" style="160" customWidth="1"/>
    <col min="13330" max="13332" width="22.7109375" style="160" customWidth="1"/>
    <col min="13333" max="13333" width="30.7109375" style="160" customWidth="1"/>
    <col min="13334" max="13335" width="2.7109375" style="160" customWidth="1"/>
    <col min="13336" max="13336" width="10.7109375" style="160" customWidth="1"/>
    <col min="13337" max="13337" width="29.7109375" style="160" customWidth="1"/>
    <col min="13338" max="13340" width="22.7109375" style="160" customWidth="1"/>
    <col min="13341" max="13341" width="30.7109375" style="160" customWidth="1"/>
    <col min="13342" max="13342" width="2.7109375" style="160" customWidth="1"/>
    <col min="13343" max="13343" width="10.7109375" style="160" customWidth="1"/>
    <col min="13344" max="13344" width="29.7109375" style="160" customWidth="1"/>
    <col min="13345" max="13347" width="22.7109375" style="160" customWidth="1"/>
    <col min="13348" max="13348" width="30.7109375" style="160" customWidth="1"/>
    <col min="13349" max="13349" width="2.7109375" style="160" customWidth="1"/>
    <col min="13350" max="13350" width="10.7109375" style="160" customWidth="1"/>
    <col min="13351" max="13351" width="29.7109375" style="160" customWidth="1"/>
    <col min="13352" max="13354" width="22.7109375" style="160" customWidth="1"/>
    <col min="13355" max="13355" width="30.7109375" style="160" customWidth="1"/>
    <col min="13356" max="13357" width="2.7109375" style="160" customWidth="1"/>
    <col min="13358" max="13358" width="10.7109375" style="160" customWidth="1"/>
    <col min="13359" max="13359" width="29.7109375" style="160" customWidth="1"/>
    <col min="13360" max="13362" width="22.7109375" style="160" customWidth="1"/>
    <col min="13363" max="13363" width="30.7109375" style="160" customWidth="1"/>
    <col min="13364" max="13364" width="2.7109375" style="160" customWidth="1"/>
    <col min="13365" max="13365" width="10.7109375" style="160" customWidth="1"/>
    <col min="13366" max="13366" width="29.7109375" style="160" customWidth="1"/>
    <col min="13367" max="13369" width="22.7109375" style="160" customWidth="1"/>
    <col min="13370" max="13370" width="30.7109375" style="160" customWidth="1"/>
    <col min="13371" max="13371" width="2.7109375" style="160" customWidth="1"/>
    <col min="13372" max="13372" width="10.7109375" style="160" customWidth="1"/>
    <col min="13373" max="13373" width="29.7109375" style="160" customWidth="1"/>
    <col min="13374" max="13376" width="22.7109375" style="160" customWidth="1"/>
    <col min="13377" max="13377" width="30.7109375" style="160" customWidth="1"/>
    <col min="13378" max="13568" width="8.85546875" style="160"/>
    <col min="13569" max="13569" width="2.7109375" style="160" customWidth="1"/>
    <col min="13570" max="13570" width="10.7109375" style="160" customWidth="1"/>
    <col min="13571" max="13571" width="32.7109375" style="160" customWidth="1"/>
    <col min="13572" max="13574" width="22.7109375" style="160" customWidth="1"/>
    <col min="13575" max="13575" width="30.7109375" style="160" customWidth="1"/>
    <col min="13576" max="13576" width="2.7109375" style="160" customWidth="1"/>
    <col min="13577" max="13577" width="10.7109375" style="160" customWidth="1"/>
    <col min="13578" max="13578" width="32.7109375" style="160" customWidth="1"/>
    <col min="13579" max="13581" width="22.7109375" style="160" customWidth="1"/>
    <col min="13582" max="13582" width="30.7109375" style="160" customWidth="1"/>
    <col min="13583" max="13583" width="2.7109375" style="160" customWidth="1"/>
    <col min="13584" max="13584" width="10.7109375" style="160" customWidth="1"/>
    <col min="13585" max="13585" width="32.7109375" style="160" customWidth="1"/>
    <col min="13586" max="13588" width="22.7109375" style="160" customWidth="1"/>
    <col min="13589" max="13589" width="30.7109375" style="160" customWidth="1"/>
    <col min="13590" max="13591" width="2.7109375" style="160" customWidth="1"/>
    <col min="13592" max="13592" width="10.7109375" style="160" customWidth="1"/>
    <col min="13593" max="13593" width="29.7109375" style="160" customWidth="1"/>
    <col min="13594" max="13596" width="22.7109375" style="160" customWidth="1"/>
    <col min="13597" max="13597" width="30.7109375" style="160" customWidth="1"/>
    <col min="13598" max="13598" width="2.7109375" style="160" customWidth="1"/>
    <col min="13599" max="13599" width="10.7109375" style="160" customWidth="1"/>
    <col min="13600" max="13600" width="29.7109375" style="160" customWidth="1"/>
    <col min="13601" max="13603" width="22.7109375" style="160" customWidth="1"/>
    <col min="13604" max="13604" width="30.7109375" style="160" customWidth="1"/>
    <col min="13605" max="13605" width="2.7109375" style="160" customWidth="1"/>
    <col min="13606" max="13606" width="10.7109375" style="160" customWidth="1"/>
    <col min="13607" max="13607" width="29.7109375" style="160" customWidth="1"/>
    <col min="13608" max="13610" width="22.7109375" style="160" customWidth="1"/>
    <col min="13611" max="13611" width="30.7109375" style="160" customWidth="1"/>
    <col min="13612" max="13613" width="2.7109375" style="160" customWidth="1"/>
    <col min="13614" max="13614" width="10.7109375" style="160" customWidth="1"/>
    <col min="13615" max="13615" width="29.7109375" style="160" customWidth="1"/>
    <col min="13616" max="13618" width="22.7109375" style="160" customWidth="1"/>
    <col min="13619" max="13619" width="30.7109375" style="160" customWidth="1"/>
    <col min="13620" max="13620" width="2.7109375" style="160" customWidth="1"/>
    <col min="13621" max="13621" width="10.7109375" style="160" customWidth="1"/>
    <col min="13622" max="13622" width="29.7109375" style="160" customWidth="1"/>
    <col min="13623" max="13625" width="22.7109375" style="160" customWidth="1"/>
    <col min="13626" max="13626" width="30.7109375" style="160" customWidth="1"/>
    <col min="13627" max="13627" width="2.7109375" style="160" customWidth="1"/>
    <col min="13628" max="13628" width="10.7109375" style="160" customWidth="1"/>
    <col min="13629" max="13629" width="29.7109375" style="160" customWidth="1"/>
    <col min="13630" max="13632" width="22.7109375" style="160" customWidth="1"/>
    <col min="13633" max="13633" width="30.7109375" style="160" customWidth="1"/>
    <col min="13634" max="13824" width="8.85546875" style="160"/>
    <col min="13825" max="13825" width="2.7109375" style="160" customWidth="1"/>
    <col min="13826" max="13826" width="10.7109375" style="160" customWidth="1"/>
    <col min="13827" max="13827" width="32.7109375" style="160" customWidth="1"/>
    <col min="13828" max="13830" width="22.7109375" style="160" customWidth="1"/>
    <col min="13831" max="13831" width="30.7109375" style="160" customWidth="1"/>
    <col min="13832" max="13832" width="2.7109375" style="160" customWidth="1"/>
    <col min="13833" max="13833" width="10.7109375" style="160" customWidth="1"/>
    <col min="13834" max="13834" width="32.7109375" style="160" customWidth="1"/>
    <col min="13835" max="13837" width="22.7109375" style="160" customWidth="1"/>
    <col min="13838" max="13838" width="30.7109375" style="160" customWidth="1"/>
    <col min="13839" max="13839" width="2.7109375" style="160" customWidth="1"/>
    <col min="13840" max="13840" width="10.7109375" style="160" customWidth="1"/>
    <col min="13841" max="13841" width="32.7109375" style="160" customWidth="1"/>
    <col min="13842" max="13844" width="22.7109375" style="160" customWidth="1"/>
    <col min="13845" max="13845" width="30.7109375" style="160" customWidth="1"/>
    <col min="13846" max="13847" width="2.7109375" style="160" customWidth="1"/>
    <col min="13848" max="13848" width="10.7109375" style="160" customWidth="1"/>
    <col min="13849" max="13849" width="29.7109375" style="160" customWidth="1"/>
    <col min="13850" max="13852" width="22.7109375" style="160" customWidth="1"/>
    <col min="13853" max="13853" width="30.7109375" style="160" customWidth="1"/>
    <col min="13854" max="13854" width="2.7109375" style="160" customWidth="1"/>
    <col min="13855" max="13855" width="10.7109375" style="160" customWidth="1"/>
    <col min="13856" max="13856" width="29.7109375" style="160" customWidth="1"/>
    <col min="13857" max="13859" width="22.7109375" style="160" customWidth="1"/>
    <col min="13860" max="13860" width="30.7109375" style="160" customWidth="1"/>
    <col min="13861" max="13861" width="2.7109375" style="160" customWidth="1"/>
    <col min="13862" max="13862" width="10.7109375" style="160" customWidth="1"/>
    <col min="13863" max="13863" width="29.7109375" style="160" customWidth="1"/>
    <col min="13864" max="13866" width="22.7109375" style="160" customWidth="1"/>
    <col min="13867" max="13867" width="30.7109375" style="160" customWidth="1"/>
    <col min="13868" max="13869" width="2.7109375" style="160" customWidth="1"/>
    <col min="13870" max="13870" width="10.7109375" style="160" customWidth="1"/>
    <col min="13871" max="13871" width="29.7109375" style="160" customWidth="1"/>
    <col min="13872" max="13874" width="22.7109375" style="160" customWidth="1"/>
    <col min="13875" max="13875" width="30.7109375" style="160" customWidth="1"/>
    <col min="13876" max="13876" width="2.7109375" style="160" customWidth="1"/>
    <col min="13877" max="13877" width="10.7109375" style="160" customWidth="1"/>
    <col min="13878" max="13878" width="29.7109375" style="160" customWidth="1"/>
    <col min="13879" max="13881" width="22.7109375" style="160" customWidth="1"/>
    <col min="13882" max="13882" width="30.7109375" style="160" customWidth="1"/>
    <col min="13883" max="13883" width="2.7109375" style="160" customWidth="1"/>
    <col min="13884" max="13884" width="10.7109375" style="160" customWidth="1"/>
    <col min="13885" max="13885" width="29.7109375" style="160" customWidth="1"/>
    <col min="13886" max="13888" width="22.7109375" style="160" customWidth="1"/>
    <col min="13889" max="13889" width="30.7109375" style="160" customWidth="1"/>
    <col min="13890" max="14080" width="8.85546875" style="160"/>
    <col min="14081" max="14081" width="2.7109375" style="160" customWidth="1"/>
    <col min="14082" max="14082" width="10.7109375" style="160" customWidth="1"/>
    <col min="14083" max="14083" width="32.7109375" style="160" customWidth="1"/>
    <col min="14084" max="14086" width="22.7109375" style="160" customWidth="1"/>
    <col min="14087" max="14087" width="30.7109375" style="160" customWidth="1"/>
    <col min="14088" max="14088" width="2.7109375" style="160" customWidth="1"/>
    <col min="14089" max="14089" width="10.7109375" style="160" customWidth="1"/>
    <col min="14090" max="14090" width="32.7109375" style="160" customWidth="1"/>
    <col min="14091" max="14093" width="22.7109375" style="160" customWidth="1"/>
    <col min="14094" max="14094" width="30.7109375" style="160" customWidth="1"/>
    <col min="14095" max="14095" width="2.7109375" style="160" customWidth="1"/>
    <col min="14096" max="14096" width="10.7109375" style="160" customWidth="1"/>
    <col min="14097" max="14097" width="32.7109375" style="160" customWidth="1"/>
    <col min="14098" max="14100" width="22.7109375" style="160" customWidth="1"/>
    <col min="14101" max="14101" width="30.7109375" style="160" customWidth="1"/>
    <col min="14102" max="14103" width="2.7109375" style="160" customWidth="1"/>
    <col min="14104" max="14104" width="10.7109375" style="160" customWidth="1"/>
    <col min="14105" max="14105" width="29.7109375" style="160" customWidth="1"/>
    <col min="14106" max="14108" width="22.7109375" style="160" customWidth="1"/>
    <col min="14109" max="14109" width="30.7109375" style="160" customWidth="1"/>
    <col min="14110" max="14110" width="2.7109375" style="160" customWidth="1"/>
    <col min="14111" max="14111" width="10.7109375" style="160" customWidth="1"/>
    <col min="14112" max="14112" width="29.7109375" style="160" customWidth="1"/>
    <col min="14113" max="14115" width="22.7109375" style="160" customWidth="1"/>
    <col min="14116" max="14116" width="30.7109375" style="160" customWidth="1"/>
    <col min="14117" max="14117" width="2.7109375" style="160" customWidth="1"/>
    <col min="14118" max="14118" width="10.7109375" style="160" customWidth="1"/>
    <col min="14119" max="14119" width="29.7109375" style="160" customWidth="1"/>
    <col min="14120" max="14122" width="22.7109375" style="160" customWidth="1"/>
    <col min="14123" max="14123" width="30.7109375" style="160" customWidth="1"/>
    <col min="14124" max="14125" width="2.7109375" style="160" customWidth="1"/>
    <col min="14126" max="14126" width="10.7109375" style="160" customWidth="1"/>
    <col min="14127" max="14127" width="29.7109375" style="160" customWidth="1"/>
    <col min="14128" max="14130" width="22.7109375" style="160" customWidth="1"/>
    <col min="14131" max="14131" width="30.7109375" style="160" customWidth="1"/>
    <col min="14132" max="14132" width="2.7109375" style="160" customWidth="1"/>
    <col min="14133" max="14133" width="10.7109375" style="160" customWidth="1"/>
    <col min="14134" max="14134" width="29.7109375" style="160" customWidth="1"/>
    <col min="14135" max="14137" width="22.7109375" style="160" customWidth="1"/>
    <col min="14138" max="14138" width="30.7109375" style="160" customWidth="1"/>
    <col min="14139" max="14139" width="2.7109375" style="160" customWidth="1"/>
    <col min="14140" max="14140" width="10.7109375" style="160" customWidth="1"/>
    <col min="14141" max="14141" width="29.7109375" style="160" customWidth="1"/>
    <col min="14142" max="14144" width="22.7109375" style="160" customWidth="1"/>
    <col min="14145" max="14145" width="30.7109375" style="160" customWidth="1"/>
    <col min="14146" max="14336" width="8.85546875" style="160"/>
    <col min="14337" max="14337" width="2.7109375" style="160" customWidth="1"/>
    <col min="14338" max="14338" width="10.7109375" style="160" customWidth="1"/>
    <col min="14339" max="14339" width="32.7109375" style="160" customWidth="1"/>
    <col min="14340" max="14342" width="22.7109375" style="160" customWidth="1"/>
    <col min="14343" max="14343" width="30.7109375" style="160" customWidth="1"/>
    <col min="14344" max="14344" width="2.7109375" style="160" customWidth="1"/>
    <col min="14345" max="14345" width="10.7109375" style="160" customWidth="1"/>
    <col min="14346" max="14346" width="32.7109375" style="160" customWidth="1"/>
    <col min="14347" max="14349" width="22.7109375" style="160" customWidth="1"/>
    <col min="14350" max="14350" width="30.7109375" style="160" customWidth="1"/>
    <col min="14351" max="14351" width="2.7109375" style="160" customWidth="1"/>
    <col min="14352" max="14352" width="10.7109375" style="160" customWidth="1"/>
    <col min="14353" max="14353" width="32.7109375" style="160" customWidth="1"/>
    <col min="14354" max="14356" width="22.7109375" style="160" customWidth="1"/>
    <col min="14357" max="14357" width="30.7109375" style="160" customWidth="1"/>
    <col min="14358" max="14359" width="2.7109375" style="160" customWidth="1"/>
    <col min="14360" max="14360" width="10.7109375" style="160" customWidth="1"/>
    <col min="14361" max="14361" width="29.7109375" style="160" customWidth="1"/>
    <col min="14362" max="14364" width="22.7109375" style="160" customWidth="1"/>
    <col min="14365" max="14365" width="30.7109375" style="160" customWidth="1"/>
    <col min="14366" max="14366" width="2.7109375" style="160" customWidth="1"/>
    <col min="14367" max="14367" width="10.7109375" style="160" customWidth="1"/>
    <col min="14368" max="14368" width="29.7109375" style="160" customWidth="1"/>
    <col min="14369" max="14371" width="22.7109375" style="160" customWidth="1"/>
    <col min="14372" max="14372" width="30.7109375" style="160" customWidth="1"/>
    <col min="14373" max="14373" width="2.7109375" style="160" customWidth="1"/>
    <col min="14374" max="14374" width="10.7109375" style="160" customWidth="1"/>
    <col min="14375" max="14375" width="29.7109375" style="160" customWidth="1"/>
    <col min="14376" max="14378" width="22.7109375" style="160" customWidth="1"/>
    <col min="14379" max="14379" width="30.7109375" style="160" customWidth="1"/>
    <col min="14380" max="14381" width="2.7109375" style="160" customWidth="1"/>
    <col min="14382" max="14382" width="10.7109375" style="160" customWidth="1"/>
    <col min="14383" max="14383" width="29.7109375" style="160" customWidth="1"/>
    <col min="14384" max="14386" width="22.7109375" style="160" customWidth="1"/>
    <col min="14387" max="14387" width="30.7109375" style="160" customWidth="1"/>
    <col min="14388" max="14388" width="2.7109375" style="160" customWidth="1"/>
    <col min="14389" max="14389" width="10.7109375" style="160" customWidth="1"/>
    <col min="14390" max="14390" width="29.7109375" style="160" customWidth="1"/>
    <col min="14391" max="14393" width="22.7109375" style="160" customWidth="1"/>
    <col min="14394" max="14394" width="30.7109375" style="160" customWidth="1"/>
    <col min="14395" max="14395" width="2.7109375" style="160" customWidth="1"/>
    <col min="14396" max="14396" width="10.7109375" style="160" customWidth="1"/>
    <col min="14397" max="14397" width="29.7109375" style="160" customWidth="1"/>
    <col min="14398" max="14400" width="22.7109375" style="160" customWidth="1"/>
    <col min="14401" max="14401" width="30.7109375" style="160" customWidth="1"/>
    <col min="14402" max="14592" width="8.85546875" style="160"/>
    <col min="14593" max="14593" width="2.7109375" style="160" customWidth="1"/>
    <col min="14594" max="14594" width="10.7109375" style="160" customWidth="1"/>
    <col min="14595" max="14595" width="32.7109375" style="160" customWidth="1"/>
    <col min="14596" max="14598" width="22.7109375" style="160" customWidth="1"/>
    <col min="14599" max="14599" width="30.7109375" style="160" customWidth="1"/>
    <col min="14600" max="14600" width="2.7109375" style="160" customWidth="1"/>
    <col min="14601" max="14601" width="10.7109375" style="160" customWidth="1"/>
    <col min="14602" max="14602" width="32.7109375" style="160" customWidth="1"/>
    <col min="14603" max="14605" width="22.7109375" style="160" customWidth="1"/>
    <col min="14606" max="14606" width="30.7109375" style="160" customWidth="1"/>
    <col min="14607" max="14607" width="2.7109375" style="160" customWidth="1"/>
    <col min="14608" max="14608" width="10.7109375" style="160" customWidth="1"/>
    <col min="14609" max="14609" width="32.7109375" style="160" customWidth="1"/>
    <col min="14610" max="14612" width="22.7109375" style="160" customWidth="1"/>
    <col min="14613" max="14613" width="30.7109375" style="160" customWidth="1"/>
    <col min="14614" max="14615" width="2.7109375" style="160" customWidth="1"/>
    <col min="14616" max="14616" width="10.7109375" style="160" customWidth="1"/>
    <col min="14617" max="14617" width="29.7109375" style="160" customWidth="1"/>
    <col min="14618" max="14620" width="22.7109375" style="160" customWidth="1"/>
    <col min="14621" max="14621" width="30.7109375" style="160" customWidth="1"/>
    <col min="14622" max="14622" width="2.7109375" style="160" customWidth="1"/>
    <col min="14623" max="14623" width="10.7109375" style="160" customWidth="1"/>
    <col min="14624" max="14624" width="29.7109375" style="160" customWidth="1"/>
    <col min="14625" max="14627" width="22.7109375" style="160" customWidth="1"/>
    <col min="14628" max="14628" width="30.7109375" style="160" customWidth="1"/>
    <col min="14629" max="14629" width="2.7109375" style="160" customWidth="1"/>
    <col min="14630" max="14630" width="10.7109375" style="160" customWidth="1"/>
    <col min="14631" max="14631" width="29.7109375" style="160" customWidth="1"/>
    <col min="14632" max="14634" width="22.7109375" style="160" customWidth="1"/>
    <col min="14635" max="14635" width="30.7109375" style="160" customWidth="1"/>
    <col min="14636" max="14637" width="2.7109375" style="160" customWidth="1"/>
    <col min="14638" max="14638" width="10.7109375" style="160" customWidth="1"/>
    <col min="14639" max="14639" width="29.7109375" style="160" customWidth="1"/>
    <col min="14640" max="14642" width="22.7109375" style="160" customWidth="1"/>
    <col min="14643" max="14643" width="30.7109375" style="160" customWidth="1"/>
    <col min="14644" max="14644" width="2.7109375" style="160" customWidth="1"/>
    <col min="14645" max="14645" width="10.7109375" style="160" customWidth="1"/>
    <col min="14646" max="14646" width="29.7109375" style="160" customWidth="1"/>
    <col min="14647" max="14649" width="22.7109375" style="160" customWidth="1"/>
    <col min="14650" max="14650" width="30.7109375" style="160" customWidth="1"/>
    <col min="14651" max="14651" width="2.7109375" style="160" customWidth="1"/>
    <col min="14652" max="14652" width="10.7109375" style="160" customWidth="1"/>
    <col min="14653" max="14653" width="29.7109375" style="160" customWidth="1"/>
    <col min="14654" max="14656" width="22.7109375" style="160" customWidth="1"/>
    <col min="14657" max="14657" width="30.7109375" style="160" customWidth="1"/>
    <col min="14658" max="14848" width="8.85546875" style="160"/>
    <col min="14849" max="14849" width="2.7109375" style="160" customWidth="1"/>
    <col min="14850" max="14850" width="10.7109375" style="160" customWidth="1"/>
    <col min="14851" max="14851" width="32.7109375" style="160" customWidth="1"/>
    <col min="14852" max="14854" width="22.7109375" style="160" customWidth="1"/>
    <col min="14855" max="14855" width="30.7109375" style="160" customWidth="1"/>
    <col min="14856" max="14856" width="2.7109375" style="160" customWidth="1"/>
    <col min="14857" max="14857" width="10.7109375" style="160" customWidth="1"/>
    <col min="14858" max="14858" width="32.7109375" style="160" customWidth="1"/>
    <col min="14859" max="14861" width="22.7109375" style="160" customWidth="1"/>
    <col min="14862" max="14862" width="30.7109375" style="160" customWidth="1"/>
    <col min="14863" max="14863" width="2.7109375" style="160" customWidth="1"/>
    <col min="14864" max="14864" width="10.7109375" style="160" customWidth="1"/>
    <col min="14865" max="14865" width="32.7109375" style="160" customWidth="1"/>
    <col min="14866" max="14868" width="22.7109375" style="160" customWidth="1"/>
    <col min="14869" max="14869" width="30.7109375" style="160" customWidth="1"/>
    <col min="14870" max="14871" width="2.7109375" style="160" customWidth="1"/>
    <col min="14872" max="14872" width="10.7109375" style="160" customWidth="1"/>
    <col min="14873" max="14873" width="29.7109375" style="160" customWidth="1"/>
    <col min="14874" max="14876" width="22.7109375" style="160" customWidth="1"/>
    <col min="14877" max="14877" width="30.7109375" style="160" customWidth="1"/>
    <col min="14878" max="14878" width="2.7109375" style="160" customWidth="1"/>
    <col min="14879" max="14879" width="10.7109375" style="160" customWidth="1"/>
    <col min="14880" max="14880" width="29.7109375" style="160" customWidth="1"/>
    <col min="14881" max="14883" width="22.7109375" style="160" customWidth="1"/>
    <col min="14884" max="14884" width="30.7109375" style="160" customWidth="1"/>
    <col min="14885" max="14885" width="2.7109375" style="160" customWidth="1"/>
    <col min="14886" max="14886" width="10.7109375" style="160" customWidth="1"/>
    <col min="14887" max="14887" width="29.7109375" style="160" customWidth="1"/>
    <col min="14888" max="14890" width="22.7109375" style="160" customWidth="1"/>
    <col min="14891" max="14891" width="30.7109375" style="160" customWidth="1"/>
    <col min="14892" max="14893" width="2.7109375" style="160" customWidth="1"/>
    <col min="14894" max="14894" width="10.7109375" style="160" customWidth="1"/>
    <col min="14895" max="14895" width="29.7109375" style="160" customWidth="1"/>
    <col min="14896" max="14898" width="22.7109375" style="160" customWidth="1"/>
    <col min="14899" max="14899" width="30.7109375" style="160" customWidth="1"/>
    <col min="14900" max="14900" width="2.7109375" style="160" customWidth="1"/>
    <col min="14901" max="14901" width="10.7109375" style="160" customWidth="1"/>
    <col min="14902" max="14902" width="29.7109375" style="160" customWidth="1"/>
    <col min="14903" max="14905" width="22.7109375" style="160" customWidth="1"/>
    <col min="14906" max="14906" width="30.7109375" style="160" customWidth="1"/>
    <col min="14907" max="14907" width="2.7109375" style="160" customWidth="1"/>
    <col min="14908" max="14908" width="10.7109375" style="160" customWidth="1"/>
    <col min="14909" max="14909" width="29.7109375" style="160" customWidth="1"/>
    <col min="14910" max="14912" width="22.7109375" style="160" customWidth="1"/>
    <col min="14913" max="14913" width="30.7109375" style="160" customWidth="1"/>
    <col min="14914" max="15104" width="8.85546875" style="160"/>
    <col min="15105" max="15105" width="2.7109375" style="160" customWidth="1"/>
    <col min="15106" max="15106" width="10.7109375" style="160" customWidth="1"/>
    <col min="15107" max="15107" width="32.7109375" style="160" customWidth="1"/>
    <col min="15108" max="15110" width="22.7109375" style="160" customWidth="1"/>
    <col min="15111" max="15111" width="30.7109375" style="160" customWidth="1"/>
    <col min="15112" max="15112" width="2.7109375" style="160" customWidth="1"/>
    <col min="15113" max="15113" width="10.7109375" style="160" customWidth="1"/>
    <col min="15114" max="15114" width="32.7109375" style="160" customWidth="1"/>
    <col min="15115" max="15117" width="22.7109375" style="160" customWidth="1"/>
    <col min="15118" max="15118" width="30.7109375" style="160" customWidth="1"/>
    <col min="15119" max="15119" width="2.7109375" style="160" customWidth="1"/>
    <col min="15120" max="15120" width="10.7109375" style="160" customWidth="1"/>
    <col min="15121" max="15121" width="32.7109375" style="160" customWidth="1"/>
    <col min="15122" max="15124" width="22.7109375" style="160" customWidth="1"/>
    <col min="15125" max="15125" width="30.7109375" style="160" customWidth="1"/>
    <col min="15126" max="15127" width="2.7109375" style="160" customWidth="1"/>
    <col min="15128" max="15128" width="10.7109375" style="160" customWidth="1"/>
    <col min="15129" max="15129" width="29.7109375" style="160" customWidth="1"/>
    <col min="15130" max="15132" width="22.7109375" style="160" customWidth="1"/>
    <col min="15133" max="15133" width="30.7109375" style="160" customWidth="1"/>
    <col min="15134" max="15134" width="2.7109375" style="160" customWidth="1"/>
    <col min="15135" max="15135" width="10.7109375" style="160" customWidth="1"/>
    <col min="15136" max="15136" width="29.7109375" style="160" customWidth="1"/>
    <col min="15137" max="15139" width="22.7109375" style="160" customWidth="1"/>
    <col min="15140" max="15140" width="30.7109375" style="160" customWidth="1"/>
    <col min="15141" max="15141" width="2.7109375" style="160" customWidth="1"/>
    <col min="15142" max="15142" width="10.7109375" style="160" customWidth="1"/>
    <col min="15143" max="15143" width="29.7109375" style="160" customWidth="1"/>
    <col min="15144" max="15146" width="22.7109375" style="160" customWidth="1"/>
    <col min="15147" max="15147" width="30.7109375" style="160" customWidth="1"/>
    <col min="15148" max="15149" width="2.7109375" style="160" customWidth="1"/>
    <col min="15150" max="15150" width="10.7109375" style="160" customWidth="1"/>
    <col min="15151" max="15151" width="29.7109375" style="160" customWidth="1"/>
    <col min="15152" max="15154" width="22.7109375" style="160" customWidth="1"/>
    <col min="15155" max="15155" width="30.7109375" style="160" customWidth="1"/>
    <col min="15156" max="15156" width="2.7109375" style="160" customWidth="1"/>
    <col min="15157" max="15157" width="10.7109375" style="160" customWidth="1"/>
    <col min="15158" max="15158" width="29.7109375" style="160" customWidth="1"/>
    <col min="15159" max="15161" width="22.7109375" style="160" customWidth="1"/>
    <col min="15162" max="15162" width="30.7109375" style="160" customWidth="1"/>
    <col min="15163" max="15163" width="2.7109375" style="160" customWidth="1"/>
    <col min="15164" max="15164" width="10.7109375" style="160" customWidth="1"/>
    <col min="15165" max="15165" width="29.7109375" style="160" customWidth="1"/>
    <col min="15166" max="15168" width="22.7109375" style="160" customWidth="1"/>
    <col min="15169" max="15169" width="30.7109375" style="160" customWidth="1"/>
    <col min="15170" max="15360" width="8.85546875" style="160"/>
    <col min="15361" max="15361" width="2.7109375" style="160" customWidth="1"/>
    <col min="15362" max="15362" width="10.7109375" style="160" customWidth="1"/>
    <col min="15363" max="15363" width="32.7109375" style="160" customWidth="1"/>
    <col min="15364" max="15366" width="22.7109375" style="160" customWidth="1"/>
    <col min="15367" max="15367" width="30.7109375" style="160" customWidth="1"/>
    <col min="15368" max="15368" width="2.7109375" style="160" customWidth="1"/>
    <col min="15369" max="15369" width="10.7109375" style="160" customWidth="1"/>
    <col min="15370" max="15370" width="32.7109375" style="160" customWidth="1"/>
    <col min="15371" max="15373" width="22.7109375" style="160" customWidth="1"/>
    <col min="15374" max="15374" width="30.7109375" style="160" customWidth="1"/>
    <col min="15375" max="15375" width="2.7109375" style="160" customWidth="1"/>
    <col min="15376" max="15376" width="10.7109375" style="160" customWidth="1"/>
    <col min="15377" max="15377" width="32.7109375" style="160" customWidth="1"/>
    <col min="15378" max="15380" width="22.7109375" style="160" customWidth="1"/>
    <col min="15381" max="15381" width="30.7109375" style="160" customWidth="1"/>
    <col min="15382" max="15383" width="2.7109375" style="160" customWidth="1"/>
    <col min="15384" max="15384" width="10.7109375" style="160" customWidth="1"/>
    <col min="15385" max="15385" width="29.7109375" style="160" customWidth="1"/>
    <col min="15386" max="15388" width="22.7109375" style="160" customWidth="1"/>
    <col min="15389" max="15389" width="30.7109375" style="160" customWidth="1"/>
    <col min="15390" max="15390" width="2.7109375" style="160" customWidth="1"/>
    <col min="15391" max="15391" width="10.7109375" style="160" customWidth="1"/>
    <col min="15392" max="15392" width="29.7109375" style="160" customWidth="1"/>
    <col min="15393" max="15395" width="22.7109375" style="160" customWidth="1"/>
    <col min="15396" max="15396" width="30.7109375" style="160" customWidth="1"/>
    <col min="15397" max="15397" width="2.7109375" style="160" customWidth="1"/>
    <col min="15398" max="15398" width="10.7109375" style="160" customWidth="1"/>
    <col min="15399" max="15399" width="29.7109375" style="160" customWidth="1"/>
    <col min="15400" max="15402" width="22.7109375" style="160" customWidth="1"/>
    <col min="15403" max="15403" width="30.7109375" style="160" customWidth="1"/>
    <col min="15404" max="15405" width="2.7109375" style="160" customWidth="1"/>
    <col min="15406" max="15406" width="10.7109375" style="160" customWidth="1"/>
    <col min="15407" max="15407" width="29.7109375" style="160" customWidth="1"/>
    <col min="15408" max="15410" width="22.7109375" style="160" customWidth="1"/>
    <col min="15411" max="15411" width="30.7109375" style="160" customWidth="1"/>
    <col min="15412" max="15412" width="2.7109375" style="160" customWidth="1"/>
    <col min="15413" max="15413" width="10.7109375" style="160" customWidth="1"/>
    <col min="15414" max="15414" width="29.7109375" style="160" customWidth="1"/>
    <col min="15415" max="15417" width="22.7109375" style="160" customWidth="1"/>
    <col min="15418" max="15418" width="30.7109375" style="160" customWidth="1"/>
    <col min="15419" max="15419" width="2.7109375" style="160" customWidth="1"/>
    <col min="15420" max="15420" width="10.7109375" style="160" customWidth="1"/>
    <col min="15421" max="15421" width="29.7109375" style="160" customWidth="1"/>
    <col min="15422" max="15424" width="22.7109375" style="160" customWidth="1"/>
    <col min="15425" max="15425" width="30.7109375" style="160" customWidth="1"/>
    <col min="15426" max="15616" width="8.85546875" style="160"/>
    <col min="15617" max="15617" width="2.7109375" style="160" customWidth="1"/>
    <col min="15618" max="15618" width="10.7109375" style="160" customWidth="1"/>
    <col min="15619" max="15619" width="32.7109375" style="160" customWidth="1"/>
    <col min="15620" max="15622" width="22.7109375" style="160" customWidth="1"/>
    <col min="15623" max="15623" width="30.7109375" style="160" customWidth="1"/>
    <col min="15624" max="15624" width="2.7109375" style="160" customWidth="1"/>
    <col min="15625" max="15625" width="10.7109375" style="160" customWidth="1"/>
    <col min="15626" max="15626" width="32.7109375" style="160" customWidth="1"/>
    <col min="15627" max="15629" width="22.7109375" style="160" customWidth="1"/>
    <col min="15630" max="15630" width="30.7109375" style="160" customWidth="1"/>
    <col min="15631" max="15631" width="2.7109375" style="160" customWidth="1"/>
    <col min="15632" max="15632" width="10.7109375" style="160" customWidth="1"/>
    <col min="15633" max="15633" width="32.7109375" style="160" customWidth="1"/>
    <col min="15634" max="15636" width="22.7109375" style="160" customWidth="1"/>
    <col min="15637" max="15637" width="30.7109375" style="160" customWidth="1"/>
    <col min="15638" max="15639" width="2.7109375" style="160" customWidth="1"/>
    <col min="15640" max="15640" width="10.7109375" style="160" customWidth="1"/>
    <col min="15641" max="15641" width="29.7109375" style="160" customWidth="1"/>
    <col min="15642" max="15644" width="22.7109375" style="160" customWidth="1"/>
    <col min="15645" max="15645" width="30.7109375" style="160" customWidth="1"/>
    <col min="15646" max="15646" width="2.7109375" style="160" customWidth="1"/>
    <col min="15647" max="15647" width="10.7109375" style="160" customWidth="1"/>
    <col min="15648" max="15648" width="29.7109375" style="160" customWidth="1"/>
    <col min="15649" max="15651" width="22.7109375" style="160" customWidth="1"/>
    <col min="15652" max="15652" width="30.7109375" style="160" customWidth="1"/>
    <col min="15653" max="15653" width="2.7109375" style="160" customWidth="1"/>
    <col min="15654" max="15654" width="10.7109375" style="160" customWidth="1"/>
    <col min="15655" max="15655" width="29.7109375" style="160" customWidth="1"/>
    <col min="15656" max="15658" width="22.7109375" style="160" customWidth="1"/>
    <col min="15659" max="15659" width="30.7109375" style="160" customWidth="1"/>
    <col min="15660" max="15661" width="2.7109375" style="160" customWidth="1"/>
    <col min="15662" max="15662" width="10.7109375" style="160" customWidth="1"/>
    <col min="15663" max="15663" width="29.7109375" style="160" customWidth="1"/>
    <col min="15664" max="15666" width="22.7109375" style="160" customWidth="1"/>
    <col min="15667" max="15667" width="30.7109375" style="160" customWidth="1"/>
    <col min="15668" max="15668" width="2.7109375" style="160" customWidth="1"/>
    <col min="15669" max="15669" width="10.7109375" style="160" customWidth="1"/>
    <col min="15670" max="15670" width="29.7109375" style="160" customWidth="1"/>
    <col min="15671" max="15673" width="22.7109375" style="160" customWidth="1"/>
    <col min="15674" max="15674" width="30.7109375" style="160" customWidth="1"/>
    <col min="15675" max="15675" width="2.7109375" style="160" customWidth="1"/>
    <col min="15676" max="15676" width="10.7109375" style="160" customWidth="1"/>
    <col min="15677" max="15677" width="29.7109375" style="160" customWidth="1"/>
    <col min="15678" max="15680" width="22.7109375" style="160" customWidth="1"/>
    <col min="15681" max="15681" width="30.7109375" style="160" customWidth="1"/>
    <col min="15682" max="15872" width="8.85546875" style="160"/>
    <col min="15873" max="15873" width="2.7109375" style="160" customWidth="1"/>
    <col min="15874" max="15874" width="10.7109375" style="160" customWidth="1"/>
    <col min="15875" max="15875" width="32.7109375" style="160" customWidth="1"/>
    <col min="15876" max="15878" width="22.7109375" style="160" customWidth="1"/>
    <col min="15879" max="15879" width="30.7109375" style="160" customWidth="1"/>
    <col min="15880" max="15880" width="2.7109375" style="160" customWidth="1"/>
    <col min="15881" max="15881" width="10.7109375" style="160" customWidth="1"/>
    <col min="15882" max="15882" width="32.7109375" style="160" customWidth="1"/>
    <col min="15883" max="15885" width="22.7109375" style="160" customWidth="1"/>
    <col min="15886" max="15886" width="30.7109375" style="160" customWidth="1"/>
    <col min="15887" max="15887" width="2.7109375" style="160" customWidth="1"/>
    <col min="15888" max="15888" width="10.7109375" style="160" customWidth="1"/>
    <col min="15889" max="15889" width="32.7109375" style="160" customWidth="1"/>
    <col min="15890" max="15892" width="22.7109375" style="160" customWidth="1"/>
    <col min="15893" max="15893" width="30.7109375" style="160" customWidth="1"/>
    <col min="15894" max="15895" width="2.7109375" style="160" customWidth="1"/>
    <col min="15896" max="15896" width="10.7109375" style="160" customWidth="1"/>
    <col min="15897" max="15897" width="29.7109375" style="160" customWidth="1"/>
    <col min="15898" max="15900" width="22.7109375" style="160" customWidth="1"/>
    <col min="15901" max="15901" width="30.7109375" style="160" customWidth="1"/>
    <col min="15902" max="15902" width="2.7109375" style="160" customWidth="1"/>
    <col min="15903" max="15903" width="10.7109375" style="160" customWidth="1"/>
    <col min="15904" max="15904" width="29.7109375" style="160" customWidth="1"/>
    <col min="15905" max="15907" width="22.7109375" style="160" customWidth="1"/>
    <col min="15908" max="15908" width="30.7109375" style="160" customWidth="1"/>
    <col min="15909" max="15909" width="2.7109375" style="160" customWidth="1"/>
    <col min="15910" max="15910" width="10.7109375" style="160" customWidth="1"/>
    <col min="15911" max="15911" width="29.7109375" style="160" customWidth="1"/>
    <col min="15912" max="15914" width="22.7109375" style="160" customWidth="1"/>
    <col min="15915" max="15915" width="30.7109375" style="160" customWidth="1"/>
    <col min="15916" max="15917" width="2.7109375" style="160" customWidth="1"/>
    <col min="15918" max="15918" width="10.7109375" style="160" customWidth="1"/>
    <col min="15919" max="15919" width="29.7109375" style="160" customWidth="1"/>
    <col min="15920" max="15922" width="22.7109375" style="160" customWidth="1"/>
    <col min="15923" max="15923" width="30.7109375" style="160" customWidth="1"/>
    <col min="15924" max="15924" width="2.7109375" style="160" customWidth="1"/>
    <col min="15925" max="15925" width="10.7109375" style="160" customWidth="1"/>
    <col min="15926" max="15926" width="29.7109375" style="160" customWidth="1"/>
    <col min="15927" max="15929" width="22.7109375" style="160" customWidth="1"/>
    <col min="15930" max="15930" width="30.7109375" style="160" customWidth="1"/>
    <col min="15931" max="15931" width="2.7109375" style="160" customWidth="1"/>
    <col min="15932" max="15932" width="10.7109375" style="160" customWidth="1"/>
    <col min="15933" max="15933" width="29.7109375" style="160" customWidth="1"/>
    <col min="15934" max="15936" width="22.7109375" style="160" customWidth="1"/>
    <col min="15937" max="15937" width="30.7109375" style="160" customWidth="1"/>
    <col min="15938" max="16128" width="8.85546875" style="160"/>
    <col min="16129" max="16129" width="2.7109375" style="160" customWidth="1"/>
    <col min="16130" max="16130" width="10.7109375" style="160" customWidth="1"/>
    <col min="16131" max="16131" width="32.7109375" style="160" customWidth="1"/>
    <col min="16132" max="16134" width="22.7109375" style="160" customWidth="1"/>
    <col min="16135" max="16135" width="30.7109375" style="160" customWidth="1"/>
    <col min="16136" max="16136" width="2.7109375" style="160" customWidth="1"/>
    <col min="16137" max="16137" width="10.7109375" style="160" customWidth="1"/>
    <col min="16138" max="16138" width="32.7109375" style="160" customWidth="1"/>
    <col min="16139" max="16141" width="22.7109375" style="160" customWidth="1"/>
    <col min="16142" max="16142" width="30.7109375" style="160" customWidth="1"/>
    <col min="16143" max="16143" width="2.7109375" style="160" customWidth="1"/>
    <col min="16144" max="16144" width="10.7109375" style="160" customWidth="1"/>
    <col min="16145" max="16145" width="32.7109375" style="160" customWidth="1"/>
    <col min="16146" max="16148" width="22.7109375" style="160" customWidth="1"/>
    <col min="16149" max="16149" width="30.7109375" style="160" customWidth="1"/>
    <col min="16150" max="16151" width="2.7109375" style="160" customWidth="1"/>
    <col min="16152" max="16152" width="10.7109375" style="160" customWidth="1"/>
    <col min="16153" max="16153" width="29.7109375" style="160" customWidth="1"/>
    <col min="16154" max="16156" width="22.7109375" style="160" customWidth="1"/>
    <col min="16157" max="16157" width="30.7109375" style="160" customWidth="1"/>
    <col min="16158" max="16158" width="2.7109375" style="160" customWidth="1"/>
    <col min="16159" max="16159" width="10.7109375" style="160" customWidth="1"/>
    <col min="16160" max="16160" width="29.7109375" style="160" customWidth="1"/>
    <col min="16161" max="16163" width="22.7109375" style="160" customWidth="1"/>
    <col min="16164" max="16164" width="30.7109375" style="160" customWidth="1"/>
    <col min="16165" max="16165" width="2.7109375" style="160" customWidth="1"/>
    <col min="16166" max="16166" width="10.7109375" style="160" customWidth="1"/>
    <col min="16167" max="16167" width="29.7109375" style="160" customWidth="1"/>
    <col min="16168" max="16170" width="22.7109375" style="160" customWidth="1"/>
    <col min="16171" max="16171" width="30.7109375" style="160" customWidth="1"/>
    <col min="16172" max="16173" width="2.7109375" style="160" customWidth="1"/>
    <col min="16174" max="16174" width="10.7109375" style="160" customWidth="1"/>
    <col min="16175" max="16175" width="29.7109375" style="160" customWidth="1"/>
    <col min="16176" max="16178" width="22.7109375" style="160" customWidth="1"/>
    <col min="16179" max="16179" width="30.7109375" style="160" customWidth="1"/>
    <col min="16180" max="16180" width="2.7109375" style="160" customWidth="1"/>
    <col min="16181" max="16181" width="10.7109375" style="160" customWidth="1"/>
    <col min="16182" max="16182" width="29.7109375" style="160" customWidth="1"/>
    <col min="16183" max="16185" width="22.7109375" style="160" customWidth="1"/>
    <col min="16186" max="16186" width="30.7109375" style="160" customWidth="1"/>
    <col min="16187" max="16187" width="2.7109375" style="160" customWidth="1"/>
    <col min="16188" max="16188" width="10.7109375" style="160" customWidth="1"/>
    <col min="16189" max="16189" width="29.7109375" style="160" customWidth="1"/>
    <col min="16190" max="16192" width="22.7109375" style="160" customWidth="1"/>
    <col min="16193" max="16193" width="30.7109375" style="160" customWidth="1"/>
    <col min="16194" max="16384" width="8.85546875" style="160"/>
  </cols>
  <sheetData>
    <row r="1" spans="1:65" ht="20.100000000000001" customHeight="1">
      <c r="A1" s="155" t="s">
        <v>222</v>
      </c>
      <c r="B1" s="155"/>
      <c r="C1" s="156"/>
      <c r="D1" s="157" t="s">
        <v>223</v>
      </c>
      <c r="E1" s="158"/>
      <c r="F1" s="156"/>
      <c r="G1" s="156"/>
      <c r="H1" s="156"/>
      <c r="I1" s="159"/>
      <c r="J1" s="156"/>
      <c r="K1" s="156"/>
      <c r="L1" s="156"/>
      <c r="M1" s="156"/>
      <c r="N1" s="156"/>
      <c r="O1" s="156"/>
      <c r="P1" s="159"/>
      <c r="Q1" s="156"/>
      <c r="R1" s="156"/>
      <c r="S1" s="156"/>
      <c r="T1" s="156"/>
      <c r="U1" s="156"/>
      <c r="V1" s="156"/>
      <c r="W1" s="156"/>
      <c r="X1" s="159"/>
      <c r="Y1" s="156"/>
      <c r="Z1" s="156"/>
      <c r="AA1" s="156"/>
      <c r="AB1" s="156"/>
      <c r="AC1" s="156"/>
      <c r="AD1" s="156"/>
      <c r="AE1" s="159"/>
      <c r="AF1" s="156"/>
      <c r="AG1" s="156"/>
      <c r="AH1" s="156"/>
      <c r="AI1" s="156"/>
      <c r="AJ1" s="156"/>
      <c r="AK1" s="156"/>
      <c r="AL1" s="159"/>
      <c r="AM1" s="156"/>
      <c r="AN1" s="156"/>
      <c r="AO1" s="156"/>
      <c r="AP1" s="156"/>
      <c r="AQ1" s="156"/>
      <c r="AR1" s="156"/>
      <c r="AS1" s="156"/>
      <c r="AT1" s="159"/>
      <c r="AU1" s="156"/>
      <c r="AV1" s="156"/>
      <c r="AW1" s="156"/>
      <c r="AX1" s="156"/>
      <c r="AY1" s="156"/>
      <c r="AZ1" s="156"/>
      <c r="BA1" s="159"/>
      <c r="BB1" s="156"/>
      <c r="BC1" s="156"/>
      <c r="BD1" s="156"/>
      <c r="BE1" s="156"/>
      <c r="BF1" s="156"/>
      <c r="BG1" s="156"/>
      <c r="BH1" s="159"/>
      <c r="BI1" s="156"/>
      <c r="BJ1" s="156"/>
      <c r="BK1" s="156"/>
      <c r="BL1" s="156"/>
      <c r="BM1" s="156"/>
    </row>
    <row r="2" spans="1:65" ht="12.75" thickBot="1"/>
    <row r="3" spans="1:65" s="164" customFormat="1">
      <c r="A3" s="561" t="s">
        <v>224</v>
      </c>
      <c r="B3" s="561"/>
      <c r="C3" s="561"/>
      <c r="D3" s="561"/>
      <c r="E3" s="561"/>
      <c r="F3" s="561"/>
      <c r="G3" s="561"/>
      <c r="H3" s="162"/>
      <c r="I3" s="561" t="s">
        <v>225</v>
      </c>
      <c r="J3" s="561"/>
      <c r="K3" s="561"/>
      <c r="L3" s="561"/>
      <c r="M3" s="561"/>
      <c r="N3" s="561"/>
      <c r="O3" s="162"/>
      <c r="P3" s="561" t="s">
        <v>226</v>
      </c>
      <c r="Q3" s="561"/>
      <c r="R3" s="561"/>
      <c r="S3" s="561"/>
      <c r="T3" s="561"/>
      <c r="U3" s="561"/>
      <c r="V3" s="163"/>
      <c r="W3" s="162"/>
      <c r="X3" s="561" t="s">
        <v>227</v>
      </c>
      <c r="Y3" s="561"/>
      <c r="Z3" s="561"/>
      <c r="AA3" s="561"/>
      <c r="AB3" s="561"/>
      <c r="AC3" s="561"/>
      <c r="AD3" s="162"/>
      <c r="AE3" s="561" t="s">
        <v>228</v>
      </c>
      <c r="AF3" s="561"/>
      <c r="AG3" s="561"/>
      <c r="AH3" s="561"/>
      <c r="AI3" s="561"/>
      <c r="AJ3" s="561"/>
      <c r="AK3" s="162"/>
      <c r="AL3" s="561" t="s">
        <v>229</v>
      </c>
      <c r="AM3" s="561"/>
      <c r="AN3" s="561"/>
      <c r="AO3" s="561"/>
      <c r="AP3" s="561"/>
      <c r="AQ3" s="561"/>
      <c r="AR3" s="163"/>
      <c r="AS3" s="162"/>
      <c r="AT3" s="561" t="s">
        <v>230</v>
      </c>
      <c r="AU3" s="561"/>
      <c r="AV3" s="561"/>
      <c r="AW3" s="561"/>
      <c r="AX3" s="561"/>
      <c r="AY3" s="561"/>
      <c r="AZ3" s="162"/>
      <c r="BA3" s="561" t="s">
        <v>231</v>
      </c>
      <c r="BB3" s="561"/>
      <c r="BC3" s="561"/>
      <c r="BD3" s="561"/>
      <c r="BE3" s="561"/>
      <c r="BF3" s="561"/>
      <c r="BG3" s="162"/>
      <c r="BH3" s="561" t="s">
        <v>232</v>
      </c>
      <c r="BI3" s="561"/>
      <c r="BJ3" s="561"/>
      <c r="BK3" s="561"/>
      <c r="BL3" s="561"/>
      <c r="BM3" s="561"/>
    </row>
    <row r="4" spans="1:65" ht="12" customHeight="1">
      <c r="A4" s="165" t="s">
        <v>233</v>
      </c>
      <c r="B4" s="165"/>
      <c r="C4" s="166"/>
      <c r="D4" s="166"/>
      <c r="E4" s="166"/>
      <c r="F4" s="166"/>
      <c r="G4" s="166"/>
      <c r="H4" s="166"/>
      <c r="I4" s="167"/>
      <c r="J4" s="166"/>
      <c r="K4" s="166"/>
      <c r="L4" s="166"/>
      <c r="M4" s="166"/>
      <c r="N4" s="166"/>
      <c r="O4" s="166"/>
      <c r="P4" s="167"/>
      <c r="Q4" s="166"/>
      <c r="R4" s="166"/>
      <c r="S4" s="166"/>
      <c r="T4" s="166"/>
      <c r="U4" s="166"/>
      <c r="V4" s="168"/>
      <c r="W4" s="166"/>
      <c r="X4" s="167"/>
      <c r="Y4" s="166"/>
      <c r="Z4" s="166"/>
      <c r="AA4" s="166"/>
      <c r="AB4" s="166"/>
      <c r="AC4" s="166"/>
      <c r="AD4" s="166"/>
      <c r="AE4" s="167"/>
      <c r="AF4" s="166"/>
      <c r="AG4" s="166"/>
      <c r="AH4" s="166"/>
      <c r="AI4" s="166"/>
      <c r="AJ4" s="166"/>
      <c r="AK4" s="166"/>
      <c r="AL4" s="167"/>
      <c r="AM4" s="166"/>
      <c r="AN4" s="166"/>
      <c r="AO4" s="166"/>
      <c r="AP4" s="166"/>
      <c r="AQ4" s="166"/>
      <c r="AR4" s="168"/>
      <c r="AS4" s="166"/>
      <c r="AT4" s="167"/>
      <c r="AU4" s="166"/>
      <c r="AV4" s="166"/>
      <c r="AW4" s="166"/>
      <c r="AX4" s="166"/>
      <c r="AY4" s="166"/>
      <c r="AZ4" s="166"/>
      <c r="BA4" s="167"/>
      <c r="BB4" s="166"/>
      <c r="BC4" s="166"/>
      <c r="BD4" s="166"/>
      <c r="BE4" s="166"/>
      <c r="BF4" s="166"/>
      <c r="BG4" s="166"/>
      <c r="BH4" s="167"/>
      <c r="BI4" s="166"/>
      <c r="BJ4" s="166"/>
      <c r="BK4" s="166"/>
      <c r="BL4" s="166"/>
      <c r="BM4" s="166"/>
    </row>
    <row r="5" spans="1:65" s="170" customFormat="1">
      <c r="A5" s="169"/>
      <c r="B5" s="169" t="s">
        <v>234</v>
      </c>
      <c r="I5" s="169" t="s">
        <v>235</v>
      </c>
      <c r="P5" s="169" t="s">
        <v>236</v>
      </c>
      <c r="V5" s="171"/>
      <c r="X5" s="169" t="s">
        <v>237</v>
      </c>
      <c r="AE5" s="169" t="s">
        <v>238</v>
      </c>
      <c r="AL5" s="169" t="s">
        <v>239</v>
      </c>
      <c r="AR5" s="171"/>
      <c r="AT5" s="169" t="s">
        <v>240</v>
      </c>
      <c r="BA5" s="169" t="s">
        <v>241</v>
      </c>
      <c r="BH5" s="169" t="s">
        <v>242</v>
      </c>
    </row>
    <row r="6" spans="1:65">
      <c r="C6" s="160" t="s">
        <v>243</v>
      </c>
      <c r="D6" s="160" t="s">
        <v>23</v>
      </c>
      <c r="E6" s="160" t="s">
        <v>24</v>
      </c>
      <c r="F6" s="160" t="s">
        <v>244</v>
      </c>
      <c r="G6" s="160" t="s">
        <v>26</v>
      </c>
      <c r="J6" s="160" t="s">
        <v>243</v>
      </c>
      <c r="K6" s="160" t="s">
        <v>23</v>
      </c>
      <c r="L6" s="160" t="s">
        <v>24</v>
      </c>
      <c r="M6" s="160" t="s">
        <v>244</v>
      </c>
      <c r="N6" s="160" t="s">
        <v>26</v>
      </c>
      <c r="Q6" s="160" t="s">
        <v>243</v>
      </c>
      <c r="R6" s="160" t="s">
        <v>23</v>
      </c>
      <c r="S6" s="160" t="s">
        <v>24</v>
      </c>
      <c r="T6" s="160" t="s">
        <v>244</v>
      </c>
      <c r="U6" s="160" t="s">
        <v>26</v>
      </c>
      <c r="V6" s="172"/>
      <c r="Y6" s="160" t="s">
        <v>243</v>
      </c>
      <c r="Z6" s="160" t="s">
        <v>23</v>
      </c>
      <c r="AA6" s="160" t="s">
        <v>24</v>
      </c>
      <c r="AB6" s="160" t="s">
        <v>244</v>
      </c>
      <c r="AC6" s="160" t="s">
        <v>26</v>
      </c>
      <c r="AF6" s="160" t="s">
        <v>243</v>
      </c>
      <c r="AG6" s="160" t="s">
        <v>23</v>
      </c>
      <c r="AH6" s="160" t="s">
        <v>24</v>
      </c>
      <c r="AI6" s="160" t="s">
        <v>244</v>
      </c>
      <c r="AJ6" s="160" t="s">
        <v>26</v>
      </c>
      <c r="AM6" s="160" t="s">
        <v>243</v>
      </c>
      <c r="AN6" s="160" t="s">
        <v>23</v>
      </c>
      <c r="AO6" s="160" t="s">
        <v>24</v>
      </c>
      <c r="AP6" s="160" t="s">
        <v>244</v>
      </c>
      <c r="AQ6" s="160" t="s">
        <v>26</v>
      </c>
      <c r="AR6" s="172"/>
      <c r="AU6" s="160" t="s">
        <v>243</v>
      </c>
      <c r="AV6" s="160" t="s">
        <v>23</v>
      </c>
      <c r="AW6" s="160" t="s">
        <v>24</v>
      </c>
      <c r="AX6" s="160" t="s">
        <v>244</v>
      </c>
      <c r="AY6" s="160" t="s">
        <v>26</v>
      </c>
      <c r="BB6" s="160" t="s">
        <v>243</v>
      </c>
      <c r="BC6" s="160" t="s">
        <v>23</v>
      </c>
      <c r="BD6" s="160" t="s">
        <v>24</v>
      </c>
      <c r="BE6" s="160" t="s">
        <v>244</v>
      </c>
      <c r="BF6" s="160" t="s">
        <v>26</v>
      </c>
      <c r="BI6" s="160" t="s">
        <v>243</v>
      </c>
      <c r="BJ6" s="160" t="s">
        <v>23</v>
      </c>
      <c r="BK6" s="160" t="s">
        <v>24</v>
      </c>
      <c r="BL6" s="160" t="s">
        <v>244</v>
      </c>
      <c r="BM6" s="160" t="s">
        <v>26</v>
      </c>
    </row>
    <row r="7" spans="1:65">
      <c r="B7" s="161" t="s">
        <v>26</v>
      </c>
      <c r="C7" s="160" t="s">
        <v>245</v>
      </c>
      <c r="D7" s="160" t="s">
        <v>246</v>
      </c>
      <c r="E7" s="160" t="s">
        <v>247</v>
      </c>
      <c r="F7" s="160" t="s">
        <v>248</v>
      </c>
      <c r="G7" s="160" t="s">
        <v>249</v>
      </c>
      <c r="I7" s="161" t="s">
        <v>26</v>
      </c>
      <c r="J7" s="160" t="s">
        <v>250</v>
      </c>
      <c r="K7" s="160" t="s">
        <v>251</v>
      </c>
      <c r="L7" s="160" t="s">
        <v>252</v>
      </c>
      <c r="M7" s="160" t="s">
        <v>253</v>
      </c>
      <c r="N7" s="160" t="s">
        <v>254</v>
      </c>
      <c r="P7" s="161" t="s">
        <v>26</v>
      </c>
      <c r="Q7" s="160" t="s">
        <v>255</v>
      </c>
      <c r="R7" s="160" t="s">
        <v>256</v>
      </c>
      <c r="S7" s="160" t="s">
        <v>257</v>
      </c>
      <c r="T7" s="160" t="s">
        <v>253</v>
      </c>
      <c r="U7" s="160" t="s">
        <v>258</v>
      </c>
      <c r="V7" s="172"/>
      <c r="X7" s="161" t="s">
        <v>26</v>
      </c>
      <c r="Y7" s="160" t="s">
        <v>259</v>
      </c>
      <c r="Z7" s="160" t="s">
        <v>260</v>
      </c>
      <c r="AA7" s="160" t="s">
        <v>261</v>
      </c>
      <c r="AB7" s="160" t="s">
        <v>262</v>
      </c>
      <c r="AC7" s="160" t="s">
        <v>263</v>
      </c>
      <c r="AE7" s="161" t="s">
        <v>26</v>
      </c>
      <c r="AF7" s="160" t="s">
        <v>264</v>
      </c>
      <c r="AG7" s="160" t="s">
        <v>265</v>
      </c>
      <c r="AH7" s="160" t="s">
        <v>266</v>
      </c>
      <c r="AI7" s="160" t="s">
        <v>267</v>
      </c>
      <c r="AJ7" s="160" t="s">
        <v>268</v>
      </c>
      <c r="AL7" s="161" t="s">
        <v>26</v>
      </c>
      <c r="AM7" s="160" t="s">
        <v>269</v>
      </c>
      <c r="AN7" s="160" t="s">
        <v>256</v>
      </c>
      <c r="AO7" s="160" t="s">
        <v>257</v>
      </c>
      <c r="AP7" s="160" t="s">
        <v>267</v>
      </c>
      <c r="AQ7" s="160" t="s">
        <v>270</v>
      </c>
      <c r="AR7" s="172"/>
      <c r="AT7" s="161" t="s">
        <v>26</v>
      </c>
      <c r="AU7" s="160" t="s">
        <v>271</v>
      </c>
      <c r="AV7" s="160" t="s">
        <v>272</v>
      </c>
      <c r="AW7" s="160" t="s">
        <v>273</v>
      </c>
      <c r="AX7" s="160" t="s">
        <v>262</v>
      </c>
      <c r="AY7" s="160" t="s">
        <v>274</v>
      </c>
      <c r="BA7" s="161" t="s">
        <v>26</v>
      </c>
      <c r="BB7" s="160" t="s">
        <v>275</v>
      </c>
      <c r="BC7" s="160" t="s">
        <v>276</v>
      </c>
      <c r="BD7" s="160" t="s">
        <v>277</v>
      </c>
      <c r="BE7" s="160" t="s">
        <v>267</v>
      </c>
      <c r="BF7" s="160" t="s">
        <v>278</v>
      </c>
      <c r="BH7" s="161" t="s">
        <v>26</v>
      </c>
      <c r="BI7" s="160" t="s">
        <v>279</v>
      </c>
      <c r="BJ7" s="160" t="s">
        <v>256</v>
      </c>
      <c r="BK7" s="160" t="s">
        <v>257</v>
      </c>
      <c r="BL7" s="160" t="s">
        <v>267</v>
      </c>
      <c r="BM7" s="160" t="s">
        <v>280</v>
      </c>
    </row>
    <row r="8" spans="1:65">
      <c r="B8" s="161" t="s">
        <v>281</v>
      </c>
      <c r="C8" s="160" t="s">
        <v>282</v>
      </c>
      <c r="D8" s="160" t="s">
        <v>283</v>
      </c>
      <c r="E8" s="160" t="s">
        <v>284</v>
      </c>
      <c r="F8" s="160" t="s">
        <v>285</v>
      </c>
      <c r="G8" s="160" t="s">
        <v>286</v>
      </c>
      <c r="I8" s="161" t="s">
        <v>281</v>
      </c>
      <c r="J8" s="160" t="s">
        <v>279</v>
      </c>
      <c r="K8" s="160" t="s">
        <v>287</v>
      </c>
      <c r="L8" s="160" t="s">
        <v>288</v>
      </c>
      <c r="M8" s="160" t="s">
        <v>289</v>
      </c>
      <c r="N8" s="160" t="s">
        <v>290</v>
      </c>
      <c r="P8" s="161" t="s">
        <v>281</v>
      </c>
      <c r="Q8" s="160" t="s">
        <v>291</v>
      </c>
      <c r="R8" s="160" t="s">
        <v>292</v>
      </c>
      <c r="S8" s="160" t="s">
        <v>293</v>
      </c>
      <c r="T8" s="160" t="s">
        <v>289</v>
      </c>
      <c r="U8" s="160" t="s">
        <v>294</v>
      </c>
      <c r="V8" s="172"/>
      <c r="X8" s="161" t="s">
        <v>281</v>
      </c>
      <c r="Y8" s="160" t="s">
        <v>295</v>
      </c>
      <c r="Z8" s="160" t="s">
        <v>296</v>
      </c>
      <c r="AA8" s="160" t="s">
        <v>297</v>
      </c>
      <c r="AB8" s="160" t="s">
        <v>298</v>
      </c>
      <c r="AC8" s="160" t="s">
        <v>299</v>
      </c>
      <c r="AE8" s="161" t="s">
        <v>281</v>
      </c>
      <c r="AF8" s="160" t="s">
        <v>300</v>
      </c>
      <c r="AG8" s="160" t="s">
        <v>301</v>
      </c>
      <c r="AH8" s="160" t="s">
        <v>302</v>
      </c>
      <c r="AI8" s="160" t="s">
        <v>303</v>
      </c>
      <c r="AJ8" s="160" t="s">
        <v>304</v>
      </c>
      <c r="AL8" s="161" t="s">
        <v>281</v>
      </c>
      <c r="AM8" s="160" t="s">
        <v>305</v>
      </c>
      <c r="AN8" s="160" t="s">
        <v>292</v>
      </c>
      <c r="AO8" s="160" t="s">
        <v>293</v>
      </c>
      <c r="AP8" s="160" t="s">
        <v>303</v>
      </c>
      <c r="AQ8" s="160" t="s">
        <v>306</v>
      </c>
      <c r="AR8" s="172"/>
      <c r="AT8" s="161" t="s">
        <v>281</v>
      </c>
      <c r="AU8" s="160" t="s">
        <v>307</v>
      </c>
      <c r="AV8" s="160" t="s">
        <v>308</v>
      </c>
      <c r="AW8" s="160" t="s">
        <v>309</v>
      </c>
      <c r="AX8" s="160" t="s">
        <v>298</v>
      </c>
      <c r="AY8" s="160" t="s">
        <v>310</v>
      </c>
      <c r="BA8" s="161" t="s">
        <v>281</v>
      </c>
      <c r="BB8" s="160" t="s">
        <v>311</v>
      </c>
      <c r="BC8" s="160" t="s">
        <v>312</v>
      </c>
      <c r="BD8" s="160" t="s">
        <v>313</v>
      </c>
      <c r="BE8" s="160" t="s">
        <v>303</v>
      </c>
      <c r="BF8" s="160" t="s">
        <v>314</v>
      </c>
      <c r="BH8" s="161" t="s">
        <v>281</v>
      </c>
      <c r="BI8" s="160" t="s">
        <v>315</v>
      </c>
      <c r="BJ8" s="160" t="s">
        <v>292</v>
      </c>
      <c r="BK8" s="160" t="s">
        <v>293</v>
      </c>
      <c r="BL8" s="160" t="s">
        <v>303</v>
      </c>
      <c r="BM8" s="160" t="s">
        <v>316</v>
      </c>
    </row>
    <row r="9" spans="1:65">
      <c r="B9" s="161" t="s">
        <v>317</v>
      </c>
      <c r="C9" s="160" t="s">
        <v>318</v>
      </c>
      <c r="D9" s="160" t="s">
        <v>319</v>
      </c>
      <c r="E9" s="160" t="s">
        <v>320</v>
      </c>
      <c r="F9" s="160" t="s">
        <v>321</v>
      </c>
      <c r="G9" s="160" t="s">
        <v>322</v>
      </c>
      <c r="I9" s="161" t="s">
        <v>317</v>
      </c>
      <c r="J9" s="160" t="s">
        <v>318</v>
      </c>
      <c r="K9" s="160" t="s">
        <v>323</v>
      </c>
      <c r="L9" s="160" t="s">
        <v>320</v>
      </c>
      <c r="M9" s="160" t="s">
        <v>324</v>
      </c>
      <c r="N9" s="160" t="s">
        <v>325</v>
      </c>
      <c r="P9" s="161" t="s">
        <v>317</v>
      </c>
      <c r="Q9" s="160" t="s">
        <v>326</v>
      </c>
      <c r="R9" s="160" t="s">
        <v>327</v>
      </c>
      <c r="S9" s="160" t="s">
        <v>328</v>
      </c>
      <c r="T9" s="160" t="s">
        <v>324</v>
      </c>
      <c r="U9" s="160" t="s">
        <v>329</v>
      </c>
      <c r="V9" s="172"/>
      <c r="X9" s="161" t="s">
        <v>317</v>
      </c>
      <c r="Y9" s="160" t="s">
        <v>330</v>
      </c>
      <c r="Z9" s="160" t="s">
        <v>331</v>
      </c>
      <c r="AA9" s="160" t="s">
        <v>332</v>
      </c>
      <c r="AB9" s="160" t="s">
        <v>333</v>
      </c>
      <c r="AC9" s="160" t="s">
        <v>334</v>
      </c>
      <c r="AE9" s="161" t="s">
        <v>317</v>
      </c>
      <c r="AF9" s="160" t="s">
        <v>335</v>
      </c>
      <c r="AG9" s="160" t="s">
        <v>331</v>
      </c>
      <c r="AH9" s="160" t="s">
        <v>332</v>
      </c>
      <c r="AI9" s="160" t="s">
        <v>336</v>
      </c>
      <c r="AJ9" s="160" t="s">
        <v>337</v>
      </c>
      <c r="AL9" s="161" t="s">
        <v>317</v>
      </c>
      <c r="AM9" s="160" t="s">
        <v>338</v>
      </c>
      <c r="AN9" s="160" t="s">
        <v>327</v>
      </c>
      <c r="AO9" s="160" t="s">
        <v>328</v>
      </c>
      <c r="AP9" s="160" t="s">
        <v>336</v>
      </c>
      <c r="AQ9" s="160" t="s">
        <v>339</v>
      </c>
      <c r="AR9" s="172"/>
      <c r="AT9" s="161" t="s">
        <v>317</v>
      </c>
      <c r="AU9" s="160" t="s">
        <v>340</v>
      </c>
      <c r="AV9" s="160" t="s">
        <v>331</v>
      </c>
      <c r="AW9" s="160" t="s">
        <v>341</v>
      </c>
      <c r="AX9" s="160" t="s">
        <v>333</v>
      </c>
      <c r="AY9" s="160" t="s">
        <v>342</v>
      </c>
      <c r="BA9" s="161" t="s">
        <v>317</v>
      </c>
      <c r="BB9" s="160" t="s">
        <v>343</v>
      </c>
      <c r="BC9" s="160" t="s">
        <v>344</v>
      </c>
      <c r="BD9" s="160" t="s">
        <v>345</v>
      </c>
      <c r="BE9" s="160" t="s">
        <v>336</v>
      </c>
      <c r="BF9" s="160" t="s">
        <v>346</v>
      </c>
      <c r="BH9" s="161" t="s">
        <v>317</v>
      </c>
      <c r="BI9" s="160" t="s">
        <v>347</v>
      </c>
      <c r="BJ9" s="160" t="s">
        <v>327</v>
      </c>
      <c r="BK9" s="160" t="s">
        <v>328</v>
      </c>
      <c r="BL9" s="160" t="s">
        <v>336</v>
      </c>
      <c r="BM9" s="160" t="s">
        <v>348</v>
      </c>
    </row>
    <row r="10" spans="1:65">
      <c r="B10" s="161" t="s">
        <v>349</v>
      </c>
      <c r="C10" s="160" t="s">
        <v>350</v>
      </c>
      <c r="D10" s="160" t="s">
        <v>351</v>
      </c>
      <c r="E10" s="160" t="s">
        <v>352</v>
      </c>
      <c r="F10" s="160" t="s">
        <v>353</v>
      </c>
      <c r="G10" s="160" t="s">
        <v>354</v>
      </c>
      <c r="I10" s="161" t="s">
        <v>349</v>
      </c>
      <c r="J10" s="160" t="s">
        <v>355</v>
      </c>
      <c r="K10" s="160" t="s">
        <v>356</v>
      </c>
      <c r="L10" s="160" t="s">
        <v>352</v>
      </c>
      <c r="M10" s="160" t="s">
        <v>353</v>
      </c>
      <c r="N10" s="160" t="s">
        <v>357</v>
      </c>
      <c r="P10" s="161" t="s">
        <v>349</v>
      </c>
      <c r="Q10" s="160" t="s">
        <v>355</v>
      </c>
      <c r="R10" s="160" t="s">
        <v>356</v>
      </c>
      <c r="S10" s="160" t="s">
        <v>358</v>
      </c>
      <c r="T10" s="160" t="s">
        <v>353</v>
      </c>
      <c r="U10" s="160" t="s">
        <v>359</v>
      </c>
      <c r="V10" s="172"/>
      <c r="X10" s="161" t="s">
        <v>349</v>
      </c>
      <c r="Y10" s="160" t="s">
        <v>360</v>
      </c>
      <c r="Z10" s="160" t="s">
        <v>327</v>
      </c>
      <c r="AA10" s="160" t="s">
        <v>361</v>
      </c>
      <c r="AB10" s="160" t="s">
        <v>362</v>
      </c>
      <c r="AC10" s="160" t="s">
        <v>363</v>
      </c>
      <c r="AE10" s="161" t="s">
        <v>349</v>
      </c>
      <c r="AF10" s="160" t="s">
        <v>364</v>
      </c>
      <c r="AG10" s="160" t="s">
        <v>351</v>
      </c>
      <c r="AH10" s="160" t="s">
        <v>352</v>
      </c>
      <c r="AI10" s="160" t="s">
        <v>365</v>
      </c>
      <c r="AJ10" s="160" t="s">
        <v>366</v>
      </c>
      <c r="AL10" s="161" t="s">
        <v>349</v>
      </c>
      <c r="AM10" s="160" t="s">
        <v>355</v>
      </c>
      <c r="AN10" s="160" t="s">
        <v>356</v>
      </c>
      <c r="AO10" s="160" t="s">
        <v>358</v>
      </c>
      <c r="AP10" s="160" t="s">
        <v>365</v>
      </c>
      <c r="AQ10" s="160" t="s">
        <v>367</v>
      </c>
      <c r="AR10" s="172"/>
      <c r="AT10" s="161" t="s">
        <v>349</v>
      </c>
      <c r="AU10" s="160" t="s">
        <v>368</v>
      </c>
      <c r="AV10" s="160" t="s">
        <v>369</v>
      </c>
      <c r="AW10" s="160" t="s">
        <v>361</v>
      </c>
      <c r="AX10" s="160" t="s">
        <v>362</v>
      </c>
      <c r="AY10" s="160" t="s">
        <v>370</v>
      </c>
      <c r="BA10" s="161" t="s">
        <v>349</v>
      </c>
      <c r="BB10" s="160" t="s">
        <v>371</v>
      </c>
      <c r="BC10" s="160" t="s">
        <v>351</v>
      </c>
      <c r="BD10" s="160" t="s">
        <v>352</v>
      </c>
      <c r="BE10" s="160" t="s">
        <v>365</v>
      </c>
      <c r="BF10" s="160" t="s">
        <v>372</v>
      </c>
      <c r="BH10" s="161" t="s">
        <v>349</v>
      </c>
      <c r="BI10" s="160" t="s">
        <v>355</v>
      </c>
      <c r="BJ10" s="160" t="s">
        <v>356</v>
      </c>
      <c r="BK10" s="160" t="s">
        <v>358</v>
      </c>
      <c r="BL10" s="160" t="s">
        <v>365</v>
      </c>
      <c r="BM10" s="160" t="s">
        <v>367</v>
      </c>
    </row>
    <row r="11" spans="1:65">
      <c r="V11" s="172"/>
      <c r="AR11" s="172"/>
    </row>
    <row r="12" spans="1:65" ht="12" customHeight="1">
      <c r="A12" s="165" t="s">
        <v>373</v>
      </c>
      <c r="B12" s="165"/>
      <c r="C12" s="166"/>
      <c r="D12" s="166"/>
      <c r="E12" s="166"/>
      <c r="F12" s="166"/>
      <c r="G12" s="166"/>
      <c r="H12" s="166"/>
      <c r="I12" s="167"/>
      <c r="J12" s="166"/>
      <c r="K12" s="166"/>
      <c r="L12" s="166"/>
      <c r="M12" s="166"/>
      <c r="N12" s="166"/>
      <c r="O12" s="166"/>
      <c r="P12" s="167"/>
      <c r="Q12" s="166"/>
      <c r="R12" s="166"/>
      <c r="S12" s="166"/>
      <c r="T12" s="166"/>
      <c r="U12" s="166"/>
      <c r="V12" s="168"/>
      <c r="W12" s="166"/>
      <c r="X12" s="167"/>
      <c r="Y12" s="166"/>
      <c r="Z12" s="166"/>
      <c r="AA12" s="166"/>
      <c r="AB12" s="166"/>
      <c r="AC12" s="166"/>
      <c r="AD12" s="166"/>
      <c r="AE12" s="167"/>
      <c r="AF12" s="166"/>
      <c r="AG12" s="166"/>
      <c r="AH12" s="166"/>
      <c r="AI12" s="166"/>
      <c r="AJ12" s="166"/>
      <c r="AK12" s="166"/>
      <c r="AL12" s="167"/>
      <c r="AM12" s="166"/>
      <c r="AN12" s="166"/>
      <c r="AO12" s="166"/>
      <c r="AP12" s="166"/>
      <c r="AQ12" s="166"/>
      <c r="AR12" s="168"/>
      <c r="AS12" s="166"/>
      <c r="AT12" s="167"/>
      <c r="AU12" s="166"/>
      <c r="AV12" s="166"/>
      <c r="AW12" s="166"/>
      <c r="AX12" s="166"/>
      <c r="AY12" s="166"/>
      <c r="AZ12" s="166"/>
      <c r="BA12" s="167"/>
      <c r="BB12" s="166"/>
      <c r="BC12" s="166"/>
      <c r="BD12" s="166"/>
      <c r="BE12" s="166"/>
      <c r="BF12" s="166"/>
      <c r="BG12" s="166"/>
      <c r="BH12" s="167"/>
      <c r="BI12" s="166"/>
      <c r="BJ12" s="166"/>
      <c r="BK12" s="166"/>
      <c r="BL12" s="166"/>
      <c r="BM12" s="166"/>
    </row>
    <row r="13" spans="1:65" s="170" customFormat="1">
      <c r="A13" s="169"/>
      <c r="B13" s="169" t="s">
        <v>374</v>
      </c>
      <c r="I13" s="169" t="s">
        <v>375</v>
      </c>
      <c r="P13" s="169" t="s">
        <v>376</v>
      </c>
      <c r="V13" s="171"/>
      <c r="X13" s="169" t="s">
        <v>377</v>
      </c>
      <c r="AE13" s="169" t="s">
        <v>378</v>
      </c>
      <c r="AL13" s="169" t="s">
        <v>379</v>
      </c>
      <c r="AR13" s="171"/>
      <c r="AT13" s="169" t="s">
        <v>380</v>
      </c>
      <c r="BA13" s="169" t="s">
        <v>381</v>
      </c>
      <c r="BH13" s="169" t="s">
        <v>382</v>
      </c>
    </row>
    <row r="14" spans="1:65">
      <c r="C14" s="160" t="s">
        <v>243</v>
      </c>
      <c r="D14" s="160" t="s">
        <v>23</v>
      </c>
      <c r="E14" s="160" t="s">
        <v>24</v>
      </c>
      <c r="F14" s="160" t="s">
        <v>244</v>
      </c>
      <c r="G14" s="160" t="s">
        <v>26</v>
      </c>
      <c r="J14" s="160" t="s">
        <v>243</v>
      </c>
      <c r="K14" s="160" t="s">
        <v>23</v>
      </c>
      <c r="L14" s="160" t="s">
        <v>24</v>
      </c>
      <c r="M14" s="160" t="s">
        <v>244</v>
      </c>
      <c r="N14" s="160" t="s">
        <v>26</v>
      </c>
      <c r="Q14" s="160" t="s">
        <v>243</v>
      </c>
      <c r="R14" s="160" t="s">
        <v>23</v>
      </c>
      <c r="S14" s="160" t="s">
        <v>24</v>
      </c>
      <c r="T14" s="160" t="s">
        <v>244</v>
      </c>
      <c r="U14" s="160" t="s">
        <v>26</v>
      </c>
      <c r="V14" s="172"/>
      <c r="Y14" s="160" t="s">
        <v>243</v>
      </c>
      <c r="Z14" s="160" t="s">
        <v>23</v>
      </c>
      <c r="AA14" s="160" t="s">
        <v>24</v>
      </c>
      <c r="AB14" s="160" t="s">
        <v>244</v>
      </c>
      <c r="AC14" s="160" t="s">
        <v>26</v>
      </c>
      <c r="AF14" s="160" t="s">
        <v>243</v>
      </c>
      <c r="AG14" s="160" t="s">
        <v>23</v>
      </c>
      <c r="AH14" s="160" t="s">
        <v>24</v>
      </c>
      <c r="AI14" s="160" t="s">
        <v>244</v>
      </c>
      <c r="AJ14" s="160" t="s">
        <v>26</v>
      </c>
      <c r="AM14" s="160" t="s">
        <v>243</v>
      </c>
      <c r="AN14" s="160" t="s">
        <v>23</v>
      </c>
      <c r="AO14" s="160" t="s">
        <v>24</v>
      </c>
      <c r="AP14" s="160" t="s">
        <v>244</v>
      </c>
      <c r="AQ14" s="160" t="s">
        <v>26</v>
      </c>
      <c r="AR14" s="172"/>
      <c r="AU14" s="160" t="s">
        <v>243</v>
      </c>
      <c r="AV14" s="160" t="s">
        <v>23</v>
      </c>
      <c r="AW14" s="160" t="s">
        <v>24</v>
      </c>
      <c r="AX14" s="160" t="s">
        <v>244</v>
      </c>
      <c r="AY14" s="160" t="s">
        <v>26</v>
      </c>
      <c r="BB14" s="160" t="s">
        <v>243</v>
      </c>
      <c r="BC14" s="160" t="s">
        <v>23</v>
      </c>
      <c r="BD14" s="160" t="s">
        <v>24</v>
      </c>
      <c r="BE14" s="160" t="s">
        <v>244</v>
      </c>
      <c r="BF14" s="160" t="s">
        <v>26</v>
      </c>
      <c r="BI14" s="160" t="s">
        <v>243</v>
      </c>
      <c r="BJ14" s="160" t="s">
        <v>23</v>
      </c>
      <c r="BK14" s="160" t="s">
        <v>24</v>
      </c>
      <c r="BL14" s="160" t="s">
        <v>244</v>
      </c>
      <c r="BM14" s="160" t="s">
        <v>26</v>
      </c>
    </row>
    <row r="15" spans="1:65">
      <c r="B15" s="161" t="s">
        <v>26</v>
      </c>
      <c r="C15" s="160" t="s">
        <v>245</v>
      </c>
      <c r="D15" s="160" t="s">
        <v>383</v>
      </c>
      <c r="E15" s="160" t="s">
        <v>247</v>
      </c>
      <c r="F15" s="160" t="s">
        <v>248</v>
      </c>
      <c r="G15" s="160" t="s">
        <v>384</v>
      </c>
      <c r="I15" s="161" t="s">
        <v>26</v>
      </c>
      <c r="J15" s="160" t="s">
        <v>250</v>
      </c>
      <c r="K15" s="160" t="s">
        <v>385</v>
      </c>
      <c r="L15" s="160" t="s">
        <v>386</v>
      </c>
      <c r="M15" s="160" t="s">
        <v>253</v>
      </c>
      <c r="N15" s="160" t="s">
        <v>387</v>
      </c>
      <c r="P15" s="161" t="s">
        <v>26</v>
      </c>
      <c r="Q15" s="160" t="s">
        <v>255</v>
      </c>
      <c r="R15" s="160" t="s">
        <v>388</v>
      </c>
      <c r="S15" s="160" t="s">
        <v>257</v>
      </c>
      <c r="T15" s="160" t="s">
        <v>253</v>
      </c>
      <c r="U15" s="160" t="s">
        <v>389</v>
      </c>
      <c r="V15" s="172"/>
      <c r="X15" s="161" t="s">
        <v>26</v>
      </c>
      <c r="Y15" s="160" t="s">
        <v>259</v>
      </c>
      <c r="Z15" s="160" t="s">
        <v>390</v>
      </c>
      <c r="AA15" s="160" t="s">
        <v>261</v>
      </c>
      <c r="AB15" s="160" t="s">
        <v>262</v>
      </c>
      <c r="AC15" s="160" t="s">
        <v>391</v>
      </c>
      <c r="AE15" s="161" t="s">
        <v>26</v>
      </c>
      <c r="AF15" s="160" t="s">
        <v>264</v>
      </c>
      <c r="AG15" s="160" t="s">
        <v>392</v>
      </c>
      <c r="AH15" s="160" t="s">
        <v>266</v>
      </c>
      <c r="AI15" s="160" t="s">
        <v>267</v>
      </c>
      <c r="AJ15" s="160" t="s">
        <v>393</v>
      </c>
      <c r="AL15" s="161" t="s">
        <v>26</v>
      </c>
      <c r="AM15" s="160" t="s">
        <v>269</v>
      </c>
      <c r="AN15" s="160" t="s">
        <v>388</v>
      </c>
      <c r="AO15" s="160" t="s">
        <v>257</v>
      </c>
      <c r="AP15" s="160" t="s">
        <v>267</v>
      </c>
      <c r="AQ15" s="160" t="s">
        <v>394</v>
      </c>
      <c r="AR15" s="172"/>
      <c r="AT15" s="161" t="s">
        <v>26</v>
      </c>
      <c r="AU15" s="160" t="s">
        <v>271</v>
      </c>
      <c r="AV15" s="160" t="s">
        <v>395</v>
      </c>
      <c r="AW15" s="160" t="s">
        <v>273</v>
      </c>
      <c r="AX15" s="160" t="s">
        <v>262</v>
      </c>
      <c r="AY15" s="160" t="s">
        <v>396</v>
      </c>
      <c r="BA15" s="161" t="s">
        <v>26</v>
      </c>
      <c r="BB15" s="160" t="s">
        <v>275</v>
      </c>
      <c r="BC15" s="160" t="s">
        <v>397</v>
      </c>
      <c r="BD15" s="160" t="s">
        <v>277</v>
      </c>
      <c r="BE15" s="160" t="s">
        <v>267</v>
      </c>
      <c r="BF15" s="160" t="s">
        <v>398</v>
      </c>
      <c r="BH15" s="161" t="s">
        <v>26</v>
      </c>
      <c r="BI15" s="160" t="s">
        <v>279</v>
      </c>
      <c r="BJ15" s="160" t="s">
        <v>388</v>
      </c>
      <c r="BK15" s="160" t="s">
        <v>257</v>
      </c>
      <c r="BL15" s="160" t="s">
        <v>267</v>
      </c>
      <c r="BM15" s="160" t="s">
        <v>399</v>
      </c>
    </row>
    <row r="16" spans="1:65">
      <c r="B16" s="161" t="s">
        <v>281</v>
      </c>
      <c r="C16" s="160" t="s">
        <v>282</v>
      </c>
      <c r="D16" s="160" t="s">
        <v>400</v>
      </c>
      <c r="E16" s="160" t="s">
        <v>284</v>
      </c>
      <c r="F16" s="160" t="s">
        <v>285</v>
      </c>
      <c r="G16" s="160" t="s">
        <v>401</v>
      </c>
      <c r="I16" s="161" t="s">
        <v>281</v>
      </c>
      <c r="J16" s="160" t="s">
        <v>279</v>
      </c>
      <c r="K16" s="160" t="s">
        <v>402</v>
      </c>
      <c r="L16" s="160" t="s">
        <v>288</v>
      </c>
      <c r="M16" s="160" t="s">
        <v>289</v>
      </c>
      <c r="N16" s="160" t="s">
        <v>403</v>
      </c>
      <c r="P16" s="161" t="s">
        <v>281</v>
      </c>
      <c r="Q16" s="160" t="s">
        <v>291</v>
      </c>
      <c r="R16" s="160" t="s">
        <v>404</v>
      </c>
      <c r="S16" s="160" t="s">
        <v>293</v>
      </c>
      <c r="T16" s="160" t="s">
        <v>289</v>
      </c>
      <c r="U16" s="160" t="s">
        <v>405</v>
      </c>
      <c r="V16" s="172"/>
      <c r="X16" s="161" t="s">
        <v>281</v>
      </c>
      <c r="Y16" s="160" t="s">
        <v>295</v>
      </c>
      <c r="Z16" s="160" t="s">
        <v>406</v>
      </c>
      <c r="AA16" s="160" t="s">
        <v>297</v>
      </c>
      <c r="AB16" s="160" t="s">
        <v>298</v>
      </c>
      <c r="AC16" s="160" t="s">
        <v>407</v>
      </c>
      <c r="AE16" s="161" t="s">
        <v>281</v>
      </c>
      <c r="AF16" s="160" t="s">
        <v>300</v>
      </c>
      <c r="AG16" s="160" t="s">
        <v>408</v>
      </c>
      <c r="AH16" s="160" t="s">
        <v>302</v>
      </c>
      <c r="AI16" s="160" t="s">
        <v>303</v>
      </c>
      <c r="AJ16" s="160" t="s">
        <v>409</v>
      </c>
      <c r="AL16" s="161" t="s">
        <v>281</v>
      </c>
      <c r="AM16" s="160" t="s">
        <v>305</v>
      </c>
      <c r="AN16" s="160" t="s">
        <v>404</v>
      </c>
      <c r="AO16" s="160" t="s">
        <v>293</v>
      </c>
      <c r="AP16" s="160" t="s">
        <v>303</v>
      </c>
      <c r="AQ16" s="160" t="s">
        <v>410</v>
      </c>
      <c r="AR16" s="172"/>
      <c r="AT16" s="161" t="s">
        <v>281</v>
      </c>
      <c r="AU16" s="160" t="s">
        <v>307</v>
      </c>
      <c r="AV16" s="160" t="s">
        <v>411</v>
      </c>
      <c r="AW16" s="160" t="s">
        <v>412</v>
      </c>
      <c r="AX16" s="160" t="s">
        <v>298</v>
      </c>
      <c r="AY16" s="160" t="s">
        <v>413</v>
      </c>
      <c r="BA16" s="161" t="s">
        <v>281</v>
      </c>
      <c r="BB16" s="160" t="s">
        <v>311</v>
      </c>
      <c r="BC16" s="160" t="s">
        <v>414</v>
      </c>
      <c r="BD16" s="160" t="s">
        <v>415</v>
      </c>
      <c r="BE16" s="160" t="s">
        <v>303</v>
      </c>
      <c r="BF16" s="160" t="s">
        <v>416</v>
      </c>
      <c r="BH16" s="161" t="s">
        <v>281</v>
      </c>
      <c r="BI16" s="160" t="s">
        <v>315</v>
      </c>
      <c r="BJ16" s="160" t="s">
        <v>404</v>
      </c>
      <c r="BK16" s="160" t="s">
        <v>293</v>
      </c>
      <c r="BL16" s="160" t="s">
        <v>303</v>
      </c>
      <c r="BM16" s="160" t="s">
        <v>417</v>
      </c>
    </row>
    <row r="17" spans="1:65">
      <c r="B17" s="161" t="s">
        <v>317</v>
      </c>
      <c r="C17" s="160" t="s">
        <v>318</v>
      </c>
      <c r="D17" s="160" t="s">
        <v>323</v>
      </c>
      <c r="E17" s="160" t="s">
        <v>320</v>
      </c>
      <c r="F17" s="160" t="s">
        <v>321</v>
      </c>
      <c r="G17" s="160" t="s">
        <v>418</v>
      </c>
      <c r="I17" s="161" t="s">
        <v>317</v>
      </c>
      <c r="J17" s="160" t="s">
        <v>318</v>
      </c>
      <c r="K17" s="160" t="s">
        <v>323</v>
      </c>
      <c r="L17" s="160" t="s">
        <v>320</v>
      </c>
      <c r="M17" s="160" t="s">
        <v>324</v>
      </c>
      <c r="N17" s="160" t="s">
        <v>419</v>
      </c>
      <c r="P17" s="161" t="s">
        <v>317</v>
      </c>
      <c r="Q17" s="160" t="s">
        <v>326</v>
      </c>
      <c r="R17" s="160" t="s">
        <v>369</v>
      </c>
      <c r="S17" s="160" t="s">
        <v>328</v>
      </c>
      <c r="T17" s="160" t="s">
        <v>324</v>
      </c>
      <c r="U17" s="160" t="s">
        <v>420</v>
      </c>
      <c r="V17" s="172"/>
      <c r="X17" s="161" t="s">
        <v>317</v>
      </c>
      <c r="Y17" s="160" t="s">
        <v>330</v>
      </c>
      <c r="Z17" s="160" t="s">
        <v>344</v>
      </c>
      <c r="AA17" s="160" t="s">
        <v>332</v>
      </c>
      <c r="AB17" s="160" t="s">
        <v>333</v>
      </c>
      <c r="AC17" s="160" t="s">
        <v>421</v>
      </c>
      <c r="AE17" s="161" t="s">
        <v>317</v>
      </c>
      <c r="AF17" s="160" t="s">
        <v>335</v>
      </c>
      <c r="AG17" s="160" t="s">
        <v>344</v>
      </c>
      <c r="AH17" s="160" t="s">
        <v>332</v>
      </c>
      <c r="AI17" s="160" t="s">
        <v>336</v>
      </c>
      <c r="AJ17" s="160" t="s">
        <v>422</v>
      </c>
      <c r="AL17" s="161" t="s">
        <v>317</v>
      </c>
      <c r="AM17" s="160" t="s">
        <v>338</v>
      </c>
      <c r="AN17" s="160" t="s">
        <v>369</v>
      </c>
      <c r="AO17" s="160" t="s">
        <v>328</v>
      </c>
      <c r="AP17" s="160" t="s">
        <v>336</v>
      </c>
      <c r="AQ17" s="160" t="s">
        <v>348</v>
      </c>
      <c r="AR17" s="172"/>
      <c r="AT17" s="161" t="s">
        <v>317</v>
      </c>
      <c r="AU17" s="160" t="s">
        <v>340</v>
      </c>
      <c r="AV17" s="160" t="s">
        <v>423</v>
      </c>
      <c r="AW17" s="160" t="s">
        <v>341</v>
      </c>
      <c r="AX17" s="160" t="s">
        <v>333</v>
      </c>
      <c r="AY17" s="160" t="s">
        <v>424</v>
      </c>
      <c r="BA17" s="161" t="s">
        <v>317</v>
      </c>
      <c r="BB17" s="160" t="s">
        <v>343</v>
      </c>
      <c r="BC17" s="160" t="s">
        <v>425</v>
      </c>
      <c r="BD17" s="160" t="s">
        <v>345</v>
      </c>
      <c r="BE17" s="160" t="s">
        <v>336</v>
      </c>
      <c r="BF17" s="160" t="s">
        <v>426</v>
      </c>
      <c r="BH17" s="161" t="s">
        <v>317</v>
      </c>
      <c r="BI17" s="160" t="s">
        <v>347</v>
      </c>
      <c r="BJ17" s="160" t="s">
        <v>369</v>
      </c>
      <c r="BK17" s="160" t="s">
        <v>328</v>
      </c>
      <c r="BL17" s="160" t="s">
        <v>336</v>
      </c>
      <c r="BM17" s="160" t="s">
        <v>348</v>
      </c>
    </row>
    <row r="18" spans="1:65">
      <c r="B18" s="161" t="s">
        <v>349</v>
      </c>
      <c r="C18" s="160" t="s">
        <v>350</v>
      </c>
      <c r="D18" s="160" t="s">
        <v>351</v>
      </c>
      <c r="E18" s="160" t="s">
        <v>352</v>
      </c>
      <c r="F18" s="160" t="s">
        <v>353</v>
      </c>
      <c r="G18" s="160" t="s">
        <v>354</v>
      </c>
      <c r="I18" s="161" t="s">
        <v>349</v>
      </c>
      <c r="J18" s="160" t="s">
        <v>355</v>
      </c>
      <c r="K18" s="160" t="s">
        <v>351</v>
      </c>
      <c r="L18" s="160" t="s">
        <v>352</v>
      </c>
      <c r="M18" s="160" t="s">
        <v>353</v>
      </c>
      <c r="N18" s="160" t="s">
        <v>357</v>
      </c>
      <c r="P18" s="161" t="s">
        <v>349</v>
      </c>
      <c r="Q18" s="160" t="s">
        <v>355</v>
      </c>
      <c r="R18" s="160" t="s">
        <v>356</v>
      </c>
      <c r="S18" s="160" t="s">
        <v>358</v>
      </c>
      <c r="T18" s="160" t="s">
        <v>353</v>
      </c>
      <c r="U18" s="160" t="s">
        <v>359</v>
      </c>
      <c r="V18" s="172"/>
      <c r="X18" s="161" t="s">
        <v>349</v>
      </c>
      <c r="Y18" s="160" t="s">
        <v>360</v>
      </c>
      <c r="Z18" s="160" t="s">
        <v>327</v>
      </c>
      <c r="AA18" s="160" t="s">
        <v>361</v>
      </c>
      <c r="AB18" s="160" t="s">
        <v>362</v>
      </c>
      <c r="AC18" s="160" t="s">
        <v>363</v>
      </c>
      <c r="AE18" s="161" t="s">
        <v>349</v>
      </c>
      <c r="AF18" s="160" t="s">
        <v>364</v>
      </c>
      <c r="AG18" s="160" t="s">
        <v>351</v>
      </c>
      <c r="AH18" s="160" t="s">
        <v>352</v>
      </c>
      <c r="AI18" s="160" t="s">
        <v>365</v>
      </c>
      <c r="AJ18" s="160" t="s">
        <v>366</v>
      </c>
      <c r="AL18" s="161" t="s">
        <v>349</v>
      </c>
      <c r="AM18" s="160" t="s">
        <v>355</v>
      </c>
      <c r="AN18" s="160" t="s">
        <v>356</v>
      </c>
      <c r="AO18" s="160" t="s">
        <v>358</v>
      </c>
      <c r="AP18" s="160" t="s">
        <v>365</v>
      </c>
      <c r="AQ18" s="160" t="s">
        <v>367</v>
      </c>
      <c r="AR18" s="172"/>
      <c r="AT18" s="161" t="s">
        <v>349</v>
      </c>
      <c r="AU18" s="160" t="s">
        <v>368</v>
      </c>
      <c r="AV18" s="160" t="s">
        <v>327</v>
      </c>
      <c r="AW18" s="160" t="s">
        <v>361</v>
      </c>
      <c r="AX18" s="160" t="s">
        <v>362</v>
      </c>
      <c r="AY18" s="160" t="s">
        <v>370</v>
      </c>
      <c r="BA18" s="161" t="s">
        <v>349</v>
      </c>
      <c r="BB18" s="160" t="s">
        <v>371</v>
      </c>
      <c r="BC18" s="160" t="s">
        <v>327</v>
      </c>
      <c r="BD18" s="160" t="s">
        <v>352</v>
      </c>
      <c r="BE18" s="160" t="s">
        <v>365</v>
      </c>
      <c r="BF18" s="160" t="s">
        <v>427</v>
      </c>
      <c r="BH18" s="161" t="s">
        <v>349</v>
      </c>
      <c r="BI18" s="160" t="s">
        <v>355</v>
      </c>
      <c r="BJ18" s="160" t="s">
        <v>356</v>
      </c>
      <c r="BK18" s="160" t="s">
        <v>358</v>
      </c>
      <c r="BL18" s="160" t="s">
        <v>365</v>
      </c>
      <c r="BM18" s="160" t="s">
        <v>367</v>
      </c>
    </row>
    <row r="19" spans="1:65">
      <c r="V19" s="172"/>
      <c r="AR19" s="172"/>
    </row>
    <row r="20" spans="1:65" ht="12" customHeight="1">
      <c r="A20" s="165" t="s">
        <v>428</v>
      </c>
      <c r="B20" s="165"/>
      <c r="C20" s="166"/>
      <c r="D20" s="166"/>
      <c r="E20" s="166"/>
      <c r="F20" s="166"/>
      <c r="G20" s="166"/>
      <c r="H20" s="166"/>
      <c r="I20" s="167"/>
      <c r="J20" s="166"/>
      <c r="K20" s="166"/>
      <c r="L20" s="166"/>
      <c r="M20" s="166"/>
      <c r="N20" s="166"/>
      <c r="O20" s="166"/>
      <c r="P20" s="167"/>
      <c r="Q20" s="166"/>
      <c r="R20" s="166"/>
      <c r="S20" s="166"/>
      <c r="T20" s="166"/>
      <c r="U20" s="166"/>
      <c r="V20" s="168"/>
      <c r="W20" s="166"/>
      <c r="X20" s="167"/>
      <c r="Y20" s="166"/>
      <c r="Z20" s="166"/>
      <c r="AA20" s="166"/>
      <c r="AB20" s="166"/>
      <c r="AC20" s="166"/>
      <c r="AD20" s="166"/>
      <c r="AE20" s="167"/>
      <c r="AF20" s="166"/>
      <c r="AG20" s="166"/>
      <c r="AH20" s="166"/>
      <c r="AI20" s="166"/>
      <c r="AJ20" s="166"/>
      <c r="AK20" s="166"/>
      <c r="AL20" s="167"/>
      <c r="AM20" s="166"/>
      <c r="AN20" s="166"/>
      <c r="AO20" s="166"/>
      <c r="AP20" s="166"/>
      <c r="AQ20" s="166"/>
      <c r="AR20" s="168"/>
      <c r="AS20" s="166"/>
      <c r="AT20" s="167"/>
      <c r="AU20" s="166"/>
      <c r="AV20" s="166"/>
      <c r="AW20" s="166"/>
      <c r="AX20" s="166"/>
      <c r="AY20" s="166"/>
      <c r="AZ20" s="166"/>
      <c r="BA20" s="167"/>
      <c r="BB20" s="166"/>
      <c r="BC20" s="166"/>
      <c r="BD20" s="166"/>
      <c r="BE20" s="166"/>
      <c r="BF20" s="166"/>
      <c r="BG20" s="166"/>
      <c r="BH20" s="167"/>
      <c r="BI20" s="166"/>
      <c r="BJ20" s="166"/>
      <c r="BK20" s="166"/>
      <c r="BL20" s="166"/>
      <c r="BM20" s="166"/>
    </row>
    <row r="21" spans="1:65" s="170" customFormat="1">
      <c r="A21" s="169"/>
      <c r="B21" s="169" t="s">
        <v>429</v>
      </c>
      <c r="I21" s="169" t="s">
        <v>430</v>
      </c>
      <c r="P21" s="169" t="s">
        <v>431</v>
      </c>
      <c r="V21" s="171"/>
      <c r="X21" s="169" t="s">
        <v>432</v>
      </c>
      <c r="AE21" s="169" t="s">
        <v>433</v>
      </c>
      <c r="AL21" s="169" t="s">
        <v>434</v>
      </c>
      <c r="AR21" s="171"/>
      <c r="AT21" s="169" t="s">
        <v>435</v>
      </c>
      <c r="BA21" s="169" t="s">
        <v>436</v>
      </c>
      <c r="BH21" s="169" t="s">
        <v>437</v>
      </c>
    </row>
    <row r="22" spans="1:65">
      <c r="C22" s="160" t="s">
        <v>243</v>
      </c>
      <c r="D22" s="160" t="s">
        <v>23</v>
      </c>
      <c r="E22" s="160" t="s">
        <v>24</v>
      </c>
      <c r="F22" s="160" t="s">
        <v>244</v>
      </c>
      <c r="G22" s="160" t="s">
        <v>26</v>
      </c>
      <c r="J22" s="160" t="s">
        <v>243</v>
      </c>
      <c r="K22" s="160" t="s">
        <v>23</v>
      </c>
      <c r="L22" s="160" t="s">
        <v>24</v>
      </c>
      <c r="M22" s="160" t="s">
        <v>244</v>
      </c>
      <c r="N22" s="160" t="s">
        <v>26</v>
      </c>
      <c r="Q22" s="160" t="s">
        <v>243</v>
      </c>
      <c r="R22" s="160" t="s">
        <v>23</v>
      </c>
      <c r="S22" s="160" t="s">
        <v>24</v>
      </c>
      <c r="T22" s="160" t="s">
        <v>244</v>
      </c>
      <c r="U22" s="160" t="s">
        <v>26</v>
      </c>
      <c r="V22" s="172"/>
      <c r="Y22" s="160" t="s">
        <v>243</v>
      </c>
      <c r="Z22" s="160" t="s">
        <v>23</v>
      </c>
      <c r="AA22" s="160" t="s">
        <v>24</v>
      </c>
      <c r="AB22" s="160" t="s">
        <v>244</v>
      </c>
      <c r="AC22" s="160" t="s">
        <v>26</v>
      </c>
      <c r="AF22" s="160" t="s">
        <v>243</v>
      </c>
      <c r="AG22" s="160" t="s">
        <v>23</v>
      </c>
      <c r="AH22" s="160" t="s">
        <v>24</v>
      </c>
      <c r="AI22" s="160" t="s">
        <v>244</v>
      </c>
      <c r="AJ22" s="160" t="s">
        <v>26</v>
      </c>
      <c r="AM22" s="160" t="s">
        <v>243</v>
      </c>
      <c r="AN22" s="160" t="s">
        <v>23</v>
      </c>
      <c r="AO22" s="160" t="s">
        <v>24</v>
      </c>
      <c r="AP22" s="160" t="s">
        <v>244</v>
      </c>
      <c r="AQ22" s="160" t="s">
        <v>26</v>
      </c>
      <c r="AR22" s="172"/>
      <c r="AU22" s="160" t="s">
        <v>243</v>
      </c>
      <c r="AV22" s="160" t="s">
        <v>23</v>
      </c>
      <c r="AW22" s="160" t="s">
        <v>24</v>
      </c>
      <c r="AX22" s="160" t="s">
        <v>244</v>
      </c>
      <c r="AY22" s="160" t="s">
        <v>26</v>
      </c>
      <c r="BB22" s="160" t="s">
        <v>243</v>
      </c>
      <c r="BC22" s="160" t="s">
        <v>23</v>
      </c>
      <c r="BD22" s="160" t="s">
        <v>24</v>
      </c>
      <c r="BE22" s="160" t="s">
        <v>244</v>
      </c>
      <c r="BF22" s="160" t="s">
        <v>26</v>
      </c>
      <c r="BI22" s="160" t="s">
        <v>243</v>
      </c>
      <c r="BJ22" s="160" t="s">
        <v>23</v>
      </c>
      <c r="BK22" s="160" t="s">
        <v>24</v>
      </c>
      <c r="BL22" s="160" t="s">
        <v>244</v>
      </c>
      <c r="BM22" s="160" t="s">
        <v>26</v>
      </c>
    </row>
    <row r="23" spans="1:65">
      <c r="B23" s="161" t="s">
        <v>26</v>
      </c>
      <c r="C23" s="160" t="s">
        <v>245</v>
      </c>
      <c r="D23" s="160" t="s">
        <v>438</v>
      </c>
      <c r="E23" s="160" t="s">
        <v>439</v>
      </c>
      <c r="F23" s="160" t="s">
        <v>248</v>
      </c>
      <c r="G23" s="160" t="s">
        <v>440</v>
      </c>
      <c r="I23" s="161" t="s">
        <v>26</v>
      </c>
      <c r="J23" s="160" t="s">
        <v>250</v>
      </c>
      <c r="K23" s="160" t="s">
        <v>251</v>
      </c>
      <c r="L23" s="160" t="s">
        <v>252</v>
      </c>
      <c r="M23" s="160" t="s">
        <v>253</v>
      </c>
      <c r="N23" s="160" t="s">
        <v>254</v>
      </c>
      <c r="P23" s="161" t="s">
        <v>26</v>
      </c>
      <c r="Q23" s="160" t="s">
        <v>255</v>
      </c>
      <c r="R23" s="160" t="s">
        <v>256</v>
      </c>
      <c r="S23" s="160" t="s">
        <v>257</v>
      </c>
      <c r="T23" s="160" t="s">
        <v>253</v>
      </c>
      <c r="U23" s="160" t="s">
        <v>258</v>
      </c>
      <c r="V23" s="172"/>
      <c r="X23" s="161" t="s">
        <v>26</v>
      </c>
      <c r="Y23" s="160" t="s">
        <v>259</v>
      </c>
      <c r="Z23" s="160" t="s">
        <v>441</v>
      </c>
      <c r="AA23" s="160" t="s">
        <v>442</v>
      </c>
      <c r="AB23" s="160" t="s">
        <v>262</v>
      </c>
      <c r="AC23" s="160" t="s">
        <v>443</v>
      </c>
      <c r="AE23" s="161" t="s">
        <v>26</v>
      </c>
      <c r="AF23" s="160" t="s">
        <v>264</v>
      </c>
      <c r="AG23" s="160" t="s">
        <v>265</v>
      </c>
      <c r="AH23" s="160" t="s">
        <v>266</v>
      </c>
      <c r="AI23" s="160" t="s">
        <v>267</v>
      </c>
      <c r="AJ23" s="160" t="s">
        <v>268</v>
      </c>
      <c r="AL23" s="161" t="s">
        <v>26</v>
      </c>
      <c r="AM23" s="160" t="s">
        <v>269</v>
      </c>
      <c r="AN23" s="160" t="s">
        <v>256</v>
      </c>
      <c r="AO23" s="160" t="s">
        <v>257</v>
      </c>
      <c r="AP23" s="160" t="s">
        <v>267</v>
      </c>
      <c r="AQ23" s="160" t="s">
        <v>270</v>
      </c>
      <c r="AR23" s="172"/>
      <c r="AT23" s="161" t="s">
        <v>26</v>
      </c>
      <c r="AU23" s="160" t="s">
        <v>271</v>
      </c>
      <c r="AV23" s="160" t="s">
        <v>444</v>
      </c>
      <c r="AW23" s="160" t="s">
        <v>445</v>
      </c>
      <c r="AX23" s="160" t="s">
        <v>262</v>
      </c>
      <c r="AY23" s="160" t="s">
        <v>446</v>
      </c>
      <c r="BA23" s="161" t="s">
        <v>26</v>
      </c>
      <c r="BB23" s="160" t="s">
        <v>275</v>
      </c>
      <c r="BC23" s="160" t="s">
        <v>276</v>
      </c>
      <c r="BD23" s="160" t="s">
        <v>277</v>
      </c>
      <c r="BE23" s="160" t="s">
        <v>267</v>
      </c>
      <c r="BF23" s="160" t="s">
        <v>278</v>
      </c>
      <c r="BH23" s="161" t="s">
        <v>26</v>
      </c>
      <c r="BI23" s="160" t="s">
        <v>279</v>
      </c>
      <c r="BJ23" s="160" t="s">
        <v>256</v>
      </c>
      <c r="BK23" s="160" t="s">
        <v>257</v>
      </c>
      <c r="BL23" s="160" t="s">
        <v>267</v>
      </c>
      <c r="BM23" s="160" t="s">
        <v>280</v>
      </c>
    </row>
    <row r="24" spans="1:65">
      <c r="B24" s="161" t="s">
        <v>281</v>
      </c>
      <c r="C24" s="160" t="s">
        <v>282</v>
      </c>
      <c r="D24" s="160" t="s">
        <v>447</v>
      </c>
      <c r="E24" s="160" t="s">
        <v>448</v>
      </c>
      <c r="F24" s="160" t="s">
        <v>285</v>
      </c>
      <c r="G24" s="160" t="s">
        <v>449</v>
      </c>
      <c r="I24" s="161" t="s">
        <v>281</v>
      </c>
      <c r="J24" s="160" t="s">
        <v>279</v>
      </c>
      <c r="K24" s="160" t="s">
        <v>287</v>
      </c>
      <c r="L24" s="160" t="s">
        <v>288</v>
      </c>
      <c r="M24" s="160" t="s">
        <v>289</v>
      </c>
      <c r="N24" s="160" t="s">
        <v>290</v>
      </c>
      <c r="P24" s="161" t="s">
        <v>281</v>
      </c>
      <c r="Q24" s="160" t="s">
        <v>291</v>
      </c>
      <c r="R24" s="160" t="s">
        <v>292</v>
      </c>
      <c r="S24" s="160" t="s">
        <v>293</v>
      </c>
      <c r="T24" s="160" t="s">
        <v>289</v>
      </c>
      <c r="U24" s="160" t="s">
        <v>294</v>
      </c>
      <c r="V24" s="172"/>
      <c r="X24" s="161" t="s">
        <v>281</v>
      </c>
      <c r="Y24" s="160" t="s">
        <v>295</v>
      </c>
      <c r="Z24" s="160" t="s">
        <v>450</v>
      </c>
      <c r="AA24" s="160" t="s">
        <v>451</v>
      </c>
      <c r="AB24" s="160" t="s">
        <v>298</v>
      </c>
      <c r="AC24" s="160" t="s">
        <v>452</v>
      </c>
      <c r="AE24" s="161" t="s">
        <v>281</v>
      </c>
      <c r="AF24" s="160" t="s">
        <v>300</v>
      </c>
      <c r="AG24" s="160" t="s">
        <v>301</v>
      </c>
      <c r="AH24" s="160" t="s">
        <v>302</v>
      </c>
      <c r="AI24" s="160" t="s">
        <v>303</v>
      </c>
      <c r="AJ24" s="160" t="s">
        <v>304</v>
      </c>
      <c r="AL24" s="161" t="s">
        <v>281</v>
      </c>
      <c r="AM24" s="160" t="s">
        <v>305</v>
      </c>
      <c r="AN24" s="160" t="s">
        <v>292</v>
      </c>
      <c r="AO24" s="160" t="s">
        <v>293</v>
      </c>
      <c r="AP24" s="160" t="s">
        <v>303</v>
      </c>
      <c r="AQ24" s="160" t="s">
        <v>306</v>
      </c>
      <c r="AR24" s="172"/>
      <c r="AT24" s="161" t="s">
        <v>281</v>
      </c>
      <c r="AU24" s="160" t="s">
        <v>307</v>
      </c>
      <c r="AV24" s="160" t="s">
        <v>453</v>
      </c>
      <c r="AW24" s="160" t="s">
        <v>454</v>
      </c>
      <c r="AX24" s="160" t="s">
        <v>298</v>
      </c>
      <c r="AY24" s="160" t="s">
        <v>455</v>
      </c>
      <c r="BA24" s="161" t="s">
        <v>281</v>
      </c>
      <c r="BB24" s="160" t="s">
        <v>311</v>
      </c>
      <c r="BC24" s="160" t="s">
        <v>312</v>
      </c>
      <c r="BD24" s="160" t="s">
        <v>313</v>
      </c>
      <c r="BE24" s="160" t="s">
        <v>303</v>
      </c>
      <c r="BF24" s="160" t="s">
        <v>314</v>
      </c>
      <c r="BH24" s="161" t="s">
        <v>281</v>
      </c>
      <c r="BI24" s="160" t="s">
        <v>315</v>
      </c>
      <c r="BJ24" s="160" t="s">
        <v>292</v>
      </c>
      <c r="BK24" s="160" t="s">
        <v>293</v>
      </c>
      <c r="BL24" s="160" t="s">
        <v>303</v>
      </c>
      <c r="BM24" s="160" t="s">
        <v>316</v>
      </c>
    </row>
    <row r="25" spans="1:65">
      <c r="B25" s="161" t="s">
        <v>317</v>
      </c>
      <c r="C25" s="160" t="s">
        <v>318</v>
      </c>
      <c r="D25" s="160" t="s">
        <v>319</v>
      </c>
      <c r="E25" s="160" t="s">
        <v>320</v>
      </c>
      <c r="F25" s="160" t="s">
        <v>321</v>
      </c>
      <c r="G25" s="160" t="s">
        <v>456</v>
      </c>
      <c r="I25" s="161" t="s">
        <v>317</v>
      </c>
      <c r="J25" s="160" t="s">
        <v>318</v>
      </c>
      <c r="K25" s="160" t="s">
        <v>323</v>
      </c>
      <c r="L25" s="160" t="s">
        <v>320</v>
      </c>
      <c r="M25" s="160" t="s">
        <v>324</v>
      </c>
      <c r="N25" s="160" t="s">
        <v>325</v>
      </c>
      <c r="P25" s="161" t="s">
        <v>317</v>
      </c>
      <c r="Q25" s="160" t="s">
        <v>326</v>
      </c>
      <c r="R25" s="160" t="s">
        <v>327</v>
      </c>
      <c r="S25" s="160" t="s">
        <v>328</v>
      </c>
      <c r="T25" s="160" t="s">
        <v>324</v>
      </c>
      <c r="U25" s="160" t="s">
        <v>329</v>
      </c>
      <c r="V25" s="172"/>
      <c r="X25" s="161" t="s">
        <v>317</v>
      </c>
      <c r="Y25" s="160" t="s">
        <v>330</v>
      </c>
      <c r="Z25" s="160" t="s">
        <v>323</v>
      </c>
      <c r="AA25" s="160" t="s">
        <v>341</v>
      </c>
      <c r="AB25" s="160" t="s">
        <v>333</v>
      </c>
      <c r="AC25" s="160" t="s">
        <v>457</v>
      </c>
      <c r="AE25" s="161" t="s">
        <v>317</v>
      </c>
      <c r="AF25" s="160" t="s">
        <v>335</v>
      </c>
      <c r="AG25" s="160" t="s">
        <v>331</v>
      </c>
      <c r="AH25" s="160" t="s">
        <v>332</v>
      </c>
      <c r="AI25" s="160" t="s">
        <v>336</v>
      </c>
      <c r="AJ25" s="160" t="s">
        <v>337</v>
      </c>
      <c r="AL25" s="161" t="s">
        <v>317</v>
      </c>
      <c r="AM25" s="160" t="s">
        <v>338</v>
      </c>
      <c r="AN25" s="160" t="s">
        <v>327</v>
      </c>
      <c r="AO25" s="160" t="s">
        <v>328</v>
      </c>
      <c r="AP25" s="160" t="s">
        <v>336</v>
      </c>
      <c r="AQ25" s="160" t="s">
        <v>339</v>
      </c>
      <c r="AR25" s="172"/>
      <c r="AT25" s="161" t="s">
        <v>317</v>
      </c>
      <c r="AU25" s="160" t="s">
        <v>340</v>
      </c>
      <c r="AV25" s="160" t="s">
        <v>331</v>
      </c>
      <c r="AW25" s="160" t="s">
        <v>458</v>
      </c>
      <c r="AX25" s="160" t="s">
        <v>333</v>
      </c>
      <c r="AY25" s="160" t="s">
        <v>459</v>
      </c>
      <c r="BA25" s="161" t="s">
        <v>317</v>
      </c>
      <c r="BB25" s="160" t="s">
        <v>343</v>
      </c>
      <c r="BC25" s="160" t="s">
        <v>344</v>
      </c>
      <c r="BD25" s="160" t="s">
        <v>345</v>
      </c>
      <c r="BE25" s="160" t="s">
        <v>336</v>
      </c>
      <c r="BF25" s="160" t="s">
        <v>346</v>
      </c>
      <c r="BH25" s="161" t="s">
        <v>317</v>
      </c>
      <c r="BI25" s="160" t="s">
        <v>347</v>
      </c>
      <c r="BJ25" s="160" t="s">
        <v>327</v>
      </c>
      <c r="BK25" s="160" t="s">
        <v>328</v>
      </c>
      <c r="BL25" s="160" t="s">
        <v>336</v>
      </c>
      <c r="BM25" s="160" t="s">
        <v>348</v>
      </c>
    </row>
    <row r="26" spans="1:65">
      <c r="B26" s="161" t="s">
        <v>349</v>
      </c>
      <c r="C26" s="160" t="s">
        <v>350</v>
      </c>
      <c r="D26" s="160" t="s">
        <v>351</v>
      </c>
      <c r="E26" s="160" t="s">
        <v>352</v>
      </c>
      <c r="F26" s="160" t="s">
        <v>353</v>
      </c>
      <c r="G26" s="160" t="s">
        <v>354</v>
      </c>
      <c r="I26" s="161" t="s">
        <v>349</v>
      </c>
      <c r="J26" s="160" t="s">
        <v>355</v>
      </c>
      <c r="K26" s="160" t="s">
        <v>356</v>
      </c>
      <c r="L26" s="160" t="s">
        <v>352</v>
      </c>
      <c r="M26" s="160" t="s">
        <v>353</v>
      </c>
      <c r="N26" s="160" t="s">
        <v>357</v>
      </c>
      <c r="P26" s="161" t="s">
        <v>349</v>
      </c>
      <c r="Q26" s="160" t="s">
        <v>355</v>
      </c>
      <c r="R26" s="160" t="s">
        <v>356</v>
      </c>
      <c r="S26" s="160" t="s">
        <v>358</v>
      </c>
      <c r="T26" s="160" t="s">
        <v>353</v>
      </c>
      <c r="U26" s="160" t="s">
        <v>359</v>
      </c>
      <c r="V26" s="172"/>
      <c r="X26" s="161" t="s">
        <v>349</v>
      </c>
      <c r="Y26" s="160" t="s">
        <v>360</v>
      </c>
      <c r="Z26" s="160" t="s">
        <v>327</v>
      </c>
      <c r="AA26" s="160" t="s">
        <v>361</v>
      </c>
      <c r="AB26" s="160" t="s">
        <v>362</v>
      </c>
      <c r="AC26" s="160" t="s">
        <v>363</v>
      </c>
      <c r="AE26" s="161" t="s">
        <v>349</v>
      </c>
      <c r="AF26" s="160" t="s">
        <v>364</v>
      </c>
      <c r="AG26" s="160" t="s">
        <v>351</v>
      </c>
      <c r="AH26" s="160" t="s">
        <v>352</v>
      </c>
      <c r="AI26" s="160" t="s">
        <v>365</v>
      </c>
      <c r="AJ26" s="160" t="s">
        <v>366</v>
      </c>
      <c r="AL26" s="161" t="s">
        <v>349</v>
      </c>
      <c r="AM26" s="160" t="s">
        <v>355</v>
      </c>
      <c r="AN26" s="160" t="s">
        <v>356</v>
      </c>
      <c r="AO26" s="160" t="s">
        <v>358</v>
      </c>
      <c r="AP26" s="160" t="s">
        <v>365</v>
      </c>
      <c r="AQ26" s="160" t="s">
        <v>367</v>
      </c>
      <c r="AR26" s="172"/>
      <c r="AT26" s="161" t="s">
        <v>349</v>
      </c>
      <c r="AU26" s="160" t="s">
        <v>368</v>
      </c>
      <c r="AV26" s="160" t="s">
        <v>327</v>
      </c>
      <c r="AW26" s="160" t="s">
        <v>460</v>
      </c>
      <c r="AX26" s="160" t="s">
        <v>362</v>
      </c>
      <c r="AY26" s="160" t="s">
        <v>370</v>
      </c>
      <c r="BA26" s="161" t="s">
        <v>349</v>
      </c>
      <c r="BB26" s="160" t="s">
        <v>371</v>
      </c>
      <c r="BC26" s="160" t="s">
        <v>351</v>
      </c>
      <c r="BD26" s="160" t="s">
        <v>352</v>
      </c>
      <c r="BE26" s="160" t="s">
        <v>365</v>
      </c>
      <c r="BF26" s="160" t="s">
        <v>372</v>
      </c>
      <c r="BH26" s="161" t="s">
        <v>349</v>
      </c>
      <c r="BI26" s="160" t="s">
        <v>355</v>
      </c>
      <c r="BJ26" s="160" t="s">
        <v>356</v>
      </c>
      <c r="BK26" s="160" t="s">
        <v>358</v>
      </c>
      <c r="BL26" s="160" t="s">
        <v>365</v>
      </c>
      <c r="BM26" s="160" t="s">
        <v>367</v>
      </c>
    </row>
    <row r="27" spans="1:65">
      <c r="V27" s="172"/>
      <c r="AR27" s="172"/>
    </row>
    <row r="28" spans="1:65" ht="12" customHeight="1">
      <c r="A28" s="165" t="s">
        <v>461</v>
      </c>
      <c r="B28" s="165"/>
      <c r="C28" s="166"/>
      <c r="D28" s="166"/>
      <c r="E28" s="166"/>
      <c r="F28" s="166"/>
      <c r="G28" s="166"/>
      <c r="H28" s="166"/>
      <c r="I28" s="167"/>
      <c r="J28" s="166"/>
      <c r="K28" s="166"/>
      <c r="L28" s="166"/>
      <c r="M28" s="166"/>
      <c r="N28" s="166"/>
      <c r="O28" s="166"/>
      <c r="P28" s="167"/>
      <c r="Q28" s="166"/>
      <c r="R28" s="166"/>
      <c r="S28" s="166"/>
      <c r="T28" s="166"/>
      <c r="U28" s="166"/>
      <c r="V28" s="168"/>
      <c r="W28" s="166"/>
      <c r="X28" s="167"/>
      <c r="Y28" s="166"/>
      <c r="Z28" s="166"/>
      <c r="AA28" s="166"/>
      <c r="AB28" s="166"/>
      <c r="AC28" s="166"/>
      <c r="AD28" s="166"/>
      <c r="AE28" s="167"/>
      <c r="AF28" s="166"/>
      <c r="AG28" s="166"/>
      <c r="AH28" s="166"/>
      <c r="AI28" s="166"/>
      <c r="AJ28" s="166"/>
      <c r="AK28" s="166"/>
      <c r="AL28" s="167"/>
      <c r="AM28" s="166"/>
      <c r="AN28" s="166"/>
      <c r="AO28" s="166"/>
      <c r="AP28" s="166"/>
      <c r="AQ28" s="166"/>
      <c r="AR28" s="168"/>
      <c r="AS28" s="166"/>
      <c r="AT28" s="167"/>
      <c r="AU28" s="166"/>
      <c r="AV28" s="166"/>
      <c r="AW28" s="166"/>
      <c r="AX28" s="166"/>
      <c r="AY28" s="166"/>
      <c r="AZ28" s="166"/>
      <c r="BA28" s="167"/>
      <c r="BB28" s="166"/>
      <c r="BC28" s="166"/>
      <c r="BD28" s="166"/>
      <c r="BE28" s="166"/>
      <c r="BF28" s="166"/>
      <c r="BG28" s="166"/>
      <c r="BH28" s="167"/>
      <c r="BI28" s="166"/>
      <c r="BJ28" s="166"/>
      <c r="BK28" s="166"/>
      <c r="BL28" s="166"/>
      <c r="BM28" s="166"/>
    </row>
    <row r="29" spans="1:65" s="170" customFormat="1">
      <c r="A29" s="169"/>
      <c r="B29" s="169" t="s">
        <v>462</v>
      </c>
      <c r="I29" s="169" t="s">
        <v>463</v>
      </c>
      <c r="P29" s="169" t="s">
        <v>464</v>
      </c>
      <c r="V29" s="171"/>
      <c r="X29" s="169" t="s">
        <v>465</v>
      </c>
      <c r="AE29" s="169" t="s">
        <v>466</v>
      </c>
      <c r="AL29" s="169" t="s">
        <v>467</v>
      </c>
      <c r="AR29" s="171"/>
      <c r="AT29" s="169" t="s">
        <v>468</v>
      </c>
      <c r="BA29" s="169" t="s">
        <v>469</v>
      </c>
      <c r="BH29" s="169" t="s">
        <v>470</v>
      </c>
    </row>
    <row r="30" spans="1:65">
      <c r="C30" s="160" t="s">
        <v>243</v>
      </c>
      <c r="D30" s="160" t="s">
        <v>23</v>
      </c>
      <c r="E30" s="160" t="s">
        <v>24</v>
      </c>
      <c r="F30" s="160" t="s">
        <v>244</v>
      </c>
      <c r="G30" s="160" t="s">
        <v>26</v>
      </c>
      <c r="J30" s="160" t="s">
        <v>243</v>
      </c>
      <c r="K30" s="160" t="s">
        <v>23</v>
      </c>
      <c r="L30" s="160" t="s">
        <v>24</v>
      </c>
      <c r="M30" s="160" t="s">
        <v>244</v>
      </c>
      <c r="N30" s="160" t="s">
        <v>26</v>
      </c>
      <c r="Q30" s="160" t="s">
        <v>243</v>
      </c>
      <c r="R30" s="160" t="s">
        <v>23</v>
      </c>
      <c r="S30" s="160" t="s">
        <v>24</v>
      </c>
      <c r="T30" s="160" t="s">
        <v>244</v>
      </c>
      <c r="U30" s="160" t="s">
        <v>26</v>
      </c>
      <c r="V30" s="172"/>
      <c r="Y30" s="160" t="s">
        <v>243</v>
      </c>
      <c r="Z30" s="160" t="s">
        <v>23</v>
      </c>
      <c r="AA30" s="160" t="s">
        <v>24</v>
      </c>
      <c r="AB30" s="160" t="s">
        <v>244</v>
      </c>
      <c r="AC30" s="160" t="s">
        <v>26</v>
      </c>
      <c r="AF30" s="160" t="s">
        <v>243</v>
      </c>
      <c r="AG30" s="160" t="s">
        <v>23</v>
      </c>
      <c r="AH30" s="160" t="s">
        <v>24</v>
      </c>
      <c r="AI30" s="160" t="s">
        <v>244</v>
      </c>
      <c r="AJ30" s="160" t="s">
        <v>26</v>
      </c>
      <c r="AM30" s="160" t="s">
        <v>243</v>
      </c>
      <c r="AN30" s="160" t="s">
        <v>23</v>
      </c>
      <c r="AO30" s="160" t="s">
        <v>24</v>
      </c>
      <c r="AP30" s="160" t="s">
        <v>244</v>
      </c>
      <c r="AQ30" s="160" t="s">
        <v>26</v>
      </c>
      <c r="AR30" s="172"/>
      <c r="AU30" s="160" t="s">
        <v>243</v>
      </c>
      <c r="AV30" s="160" t="s">
        <v>23</v>
      </c>
      <c r="AW30" s="160" t="s">
        <v>24</v>
      </c>
      <c r="AX30" s="160" t="s">
        <v>244</v>
      </c>
      <c r="AY30" s="160" t="s">
        <v>26</v>
      </c>
      <c r="BB30" s="160" t="s">
        <v>243</v>
      </c>
      <c r="BC30" s="160" t="s">
        <v>23</v>
      </c>
      <c r="BD30" s="160" t="s">
        <v>24</v>
      </c>
      <c r="BE30" s="160" t="s">
        <v>244</v>
      </c>
      <c r="BF30" s="160" t="s">
        <v>26</v>
      </c>
      <c r="BI30" s="160" t="s">
        <v>243</v>
      </c>
      <c r="BJ30" s="160" t="s">
        <v>23</v>
      </c>
      <c r="BK30" s="160" t="s">
        <v>24</v>
      </c>
      <c r="BL30" s="160" t="s">
        <v>244</v>
      </c>
      <c r="BM30" s="160" t="s">
        <v>26</v>
      </c>
    </row>
    <row r="31" spans="1:65">
      <c r="B31" s="161" t="s">
        <v>26</v>
      </c>
      <c r="C31" s="160" t="s">
        <v>245</v>
      </c>
      <c r="D31" s="160" t="s">
        <v>251</v>
      </c>
      <c r="E31" s="160" t="s">
        <v>439</v>
      </c>
      <c r="F31" s="160" t="s">
        <v>248</v>
      </c>
      <c r="G31" s="160" t="s">
        <v>471</v>
      </c>
      <c r="I31" s="161" t="s">
        <v>26</v>
      </c>
      <c r="J31" s="160" t="s">
        <v>250</v>
      </c>
      <c r="K31" s="160" t="s">
        <v>385</v>
      </c>
      <c r="L31" s="160" t="s">
        <v>386</v>
      </c>
      <c r="M31" s="160" t="s">
        <v>253</v>
      </c>
      <c r="N31" s="160" t="s">
        <v>387</v>
      </c>
      <c r="P31" s="161" t="s">
        <v>26</v>
      </c>
      <c r="Q31" s="160" t="s">
        <v>255</v>
      </c>
      <c r="R31" s="160" t="s">
        <v>388</v>
      </c>
      <c r="S31" s="160" t="s">
        <v>257</v>
      </c>
      <c r="T31" s="160" t="s">
        <v>253</v>
      </c>
      <c r="U31" s="160" t="s">
        <v>389</v>
      </c>
      <c r="V31" s="172"/>
      <c r="X31" s="161" t="s">
        <v>26</v>
      </c>
      <c r="Y31" s="160" t="s">
        <v>259</v>
      </c>
      <c r="Z31" s="160" t="s">
        <v>472</v>
      </c>
      <c r="AA31" s="160" t="s">
        <v>473</v>
      </c>
      <c r="AB31" s="160" t="s">
        <v>262</v>
      </c>
      <c r="AC31" s="160" t="s">
        <v>474</v>
      </c>
      <c r="AE31" s="161" t="s">
        <v>26</v>
      </c>
      <c r="AF31" s="160" t="s">
        <v>264</v>
      </c>
      <c r="AG31" s="160" t="s">
        <v>392</v>
      </c>
      <c r="AH31" s="160" t="s">
        <v>266</v>
      </c>
      <c r="AI31" s="160" t="s">
        <v>267</v>
      </c>
      <c r="AJ31" s="160" t="s">
        <v>393</v>
      </c>
      <c r="AL31" s="161" t="s">
        <v>26</v>
      </c>
      <c r="AM31" s="160" t="s">
        <v>269</v>
      </c>
      <c r="AN31" s="160" t="s">
        <v>388</v>
      </c>
      <c r="AO31" s="160" t="s">
        <v>257</v>
      </c>
      <c r="AP31" s="160" t="s">
        <v>267</v>
      </c>
      <c r="AQ31" s="160" t="s">
        <v>394</v>
      </c>
      <c r="AR31" s="172"/>
      <c r="AT31" s="161" t="s">
        <v>26</v>
      </c>
      <c r="AU31" s="160" t="s">
        <v>271</v>
      </c>
      <c r="AV31" s="160" t="s">
        <v>475</v>
      </c>
      <c r="AW31" s="160" t="s">
        <v>445</v>
      </c>
      <c r="AX31" s="160" t="s">
        <v>262</v>
      </c>
      <c r="AY31" s="160" t="s">
        <v>476</v>
      </c>
      <c r="BA31" s="161" t="s">
        <v>26</v>
      </c>
      <c r="BB31" s="160" t="s">
        <v>275</v>
      </c>
      <c r="BC31" s="160" t="s">
        <v>397</v>
      </c>
      <c r="BD31" s="160" t="s">
        <v>277</v>
      </c>
      <c r="BE31" s="160" t="s">
        <v>267</v>
      </c>
      <c r="BF31" s="160" t="s">
        <v>398</v>
      </c>
      <c r="BH31" s="161" t="s">
        <v>26</v>
      </c>
      <c r="BI31" s="160" t="s">
        <v>279</v>
      </c>
      <c r="BJ31" s="160" t="s">
        <v>388</v>
      </c>
      <c r="BK31" s="160" t="s">
        <v>257</v>
      </c>
      <c r="BL31" s="160" t="s">
        <v>267</v>
      </c>
      <c r="BM31" s="160" t="s">
        <v>399</v>
      </c>
    </row>
    <row r="32" spans="1:65">
      <c r="B32" s="161" t="s">
        <v>281</v>
      </c>
      <c r="C32" s="160" t="s">
        <v>282</v>
      </c>
      <c r="D32" s="160" t="s">
        <v>477</v>
      </c>
      <c r="E32" s="160" t="s">
        <v>448</v>
      </c>
      <c r="F32" s="160" t="s">
        <v>285</v>
      </c>
      <c r="G32" s="160" t="s">
        <v>478</v>
      </c>
      <c r="I32" s="161" t="s">
        <v>281</v>
      </c>
      <c r="J32" s="160" t="s">
        <v>279</v>
      </c>
      <c r="K32" s="160" t="s">
        <v>402</v>
      </c>
      <c r="L32" s="160" t="s">
        <v>288</v>
      </c>
      <c r="M32" s="160" t="s">
        <v>289</v>
      </c>
      <c r="N32" s="160" t="s">
        <v>403</v>
      </c>
      <c r="P32" s="161" t="s">
        <v>281</v>
      </c>
      <c r="Q32" s="160" t="s">
        <v>291</v>
      </c>
      <c r="R32" s="160" t="s">
        <v>404</v>
      </c>
      <c r="S32" s="160" t="s">
        <v>293</v>
      </c>
      <c r="T32" s="160" t="s">
        <v>289</v>
      </c>
      <c r="U32" s="160" t="s">
        <v>405</v>
      </c>
      <c r="V32" s="172"/>
      <c r="X32" s="161" t="s">
        <v>281</v>
      </c>
      <c r="Y32" s="160" t="s">
        <v>295</v>
      </c>
      <c r="Z32" s="160" t="s">
        <v>479</v>
      </c>
      <c r="AA32" s="160" t="s">
        <v>451</v>
      </c>
      <c r="AB32" s="160" t="s">
        <v>298</v>
      </c>
      <c r="AC32" s="160" t="s">
        <v>480</v>
      </c>
      <c r="AE32" s="161" t="s">
        <v>281</v>
      </c>
      <c r="AF32" s="160" t="s">
        <v>300</v>
      </c>
      <c r="AG32" s="160" t="s">
        <v>408</v>
      </c>
      <c r="AH32" s="160" t="s">
        <v>302</v>
      </c>
      <c r="AI32" s="160" t="s">
        <v>303</v>
      </c>
      <c r="AJ32" s="160" t="s">
        <v>409</v>
      </c>
      <c r="AL32" s="161" t="s">
        <v>281</v>
      </c>
      <c r="AM32" s="160" t="s">
        <v>305</v>
      </c>
      <c r="AN32" s="160" t="s">
        <v>404</v>
      </c>
      <c r="AO32" s="160" t="s">
        <v>293</v>
      </c>
      <c r="AP32" s="160" t="s">
        <v>303</v>
      </c>
      <c r="AQ32" s="160" t="s">
        <v>410</v>
      </c>
      <c r="AR32" s="172"/>
      <c r="AT32" s="161" t="s">
        <v>281</v>
      </c>
      <c r="AU32" s="160" t="s">
        <v>307</v>
      </c>
      <c r="AV32" s="160" t="s">
        <v>312</v>
      </c>
      <c r="AW32" s="160" t="s">
        <v>481</v>
      </c>
      <c r="AX32" s="160" t="s">
        <v>298</v>
      </c>
      <c r="AY32" s="160" t="s">
        <v>482</v>
      </c>
      <c r="BA32" s="161" t="s">
        <v>281</v>
      </c>
      <c r="BB32" s="160" t="s">
        <v>311</v>
      </c>
      <c r="BC32" s="160" t="s">
        <v>414</v>
      </c>
      <c r="BD32" s="160" t="s">
        <v>415</v>
      </c>
      <c r="BE32" s="160" t="s">
        <v>303</v>
      </c>
      <c r="BF32" s="160" t="s">
        <v>416</v>
      </c>
      <c r="BH32" s="161" t="s">
        <v>281</v>
      </c>
      <c r="BI32" s="160" t="s">
        <v>315</v>
      </c>
      <c r="BJ32" s="160" t="s">
        <v>404</v>
      </c>
      <c r="BK32" s="160" t="s">
        <v>293</v>
      </c>
      <c r="BL32" s="160" t="s">
        <v>303</v>
      </c>
      <c r="BM32" s="160" t="s">
        <v>417</v>
      </c>
    </row>
    <row r="33" spans="1:65">
      <c r="B33" s="161" t="s">
        <v>317</v>
      </c>
      <c r="C33" s="160" t="s">
        <v>318</v>
      </c>
      <c r="D33" s="160" t="s">
        <v>323</v>
      </c>
      <c r="E33" s="160" t="s">
        <v>320</v>
      </c>
      <c r="F33" s="160" t="s">
        <v>321</v>
      </c>
      <c r="G33" s="160" t="s">
        <v>483</v>
      </c>
      <c r="I33" s="161" t="s">
        <v>317</v>
      </c>
      <c r="J33" s="160" t="s">
        <v>318</v>
      </c>
      <c r="K33" s="160" t="s">
        <v>323</v>
      </c>
      <c r="L33" s="160" t="s">
        <v>320</v>
      </c>
      <c r="M33" s="160" t="s">
        <v>324</v>
      </c>
      <c r="N33" s="160" t="s">
        <v>419</v>
      </c>
      <c r="P33" s="161" t="s">
        <v>317</v>
      </c>
      <c r="Q33" s="160" t="s">
        <v>326</v>
      </c>
      <c r="R33" s="160" t="s">
        <v>369</v>
      </c>
      <c r="S33" s="160" t="s">
        <v>328</v>
      </c>
      <c r="T33" s="160" t="s">
        <v>324</v>
      </c>
      <c r="U33" s="160" t="s">
        <v>420</v>
      </c>
      <c r="V33" s="172"/>
      <c r="X33" s="161" t="s">
        <v>317</v>
      </c>
      <c r="Y33" s="160" t="s">
        <v>330</v>
      </c>
      <c r="Z33" s="160" t="s">
        <v>344</v>
      </c>
      <c r="AA33" s="160" t="s">
        <v>341</v>
      </c>
      <c r="AB33" s="160" t="s">
        <v>333</v>
      </c>
      <c r="AC33" s="160" t="s">
        <v>421</v>
      </c>
      <c r="AE33" s="161" t="s">
        <v>317</v>
      </c>
      <c r="AF33" s="160" t="s">
        <v>335</v>
      </c>
      <c r="AG33" s="160" t="s">
        <v>344</v>
      </c>
      <c r="AH33" s="160" t="s">
        <v>332</v>
      </c>
      <c r="AI33" s="160" t="s">
        <v>336</v>
      </c>
      <c r="AJ33" s="160" t="s">
        <v>422</v>
      </c>
      <c r="AL33" s="161" t="s">
        <v>317</v>
      </c>
      <c r="AM33" s="160" t="s">
        <v>338</v>
      </c>
      <c r="AN33" s="160" t="s">
        <v>369</v>
      </c>
      <c r="AO33" s="160" t="s">
        <v>328</v>
      </c>
      <c r="AP33" s="160" t="s">
        <v>336</v>
      </c>
      <c r="AQ33" s="160" t="s">
        <v>348</v>
      </c>
      <c r="AR33" s="172"/>
      <c r="AT33" s="161" t="s">
        <v>317</v>
      </c>
      <c r="AU33" s="160" t="s">
        <v>340</v>
      </c>
      <c r="AV33" s="160" t="s">
        <v>423</v>
      </c>
      <c r="AW33" s="160" t="s">
        <v>458</v>
      </c>
      <c r="AX33" s="160" t="s">
        <v>333</v>
      </c>
      <c r="AY33" s="160" t="s">
        <v>424</v>
      </c>
      <c r="BA33" s="161" t="s">
        <v>317</v>
      </c>
      <c r="BB33" s="160" t="s">
        <v>343</v>
      </c>
      <c r="BC33" s="160" t="s">
        <v>425</v>
      </c>
      <c r="BD33" s="160" t="s">
        <v>345</v>
      </c>
      <c r="BE33" s="160" t="s">
        <v>336</v>
      </c>
      <c r="BF33" s="160" t="s">
        <v>426</v>
      </c>
      <c r="BH33" s="161" t="s">
        <v>317</v>
      </c>
      <c r="BI33" s="160" t="s">
        <v>347</v>
      </c>
      <c r="BJ33" s="160" t="s">
        <v>369</v>
      </c>
      <c r="BK33" s="160" t="s">
        <v>328</v>
      </c>
      <c r="BL33" s="160" t="s">
        <v>336</v>
      </c>
      <c r="BM33" s="160" t="s">
        <v>348</v>
      </c>
    </row>
    <row r="34" spans="1:65">
      <c r="B34" s="161" t="s">
        <v>349</v>
      </c>
      <c r="C34" s="160" t="s">
        <v>350</v>
      </c>
      <c r="D34" s="160" t="s">
        <v>351</v>
      </c>
      <c r="E34" s="160" t="s">
        <v>352</v>
      </c>
      <c r="F34" s="160" t="s">
        <v>353</v>
      </c>
      <c r="G34" s="160" t="s">
        <v>354</v>
      </c>
      <c r="I34" s="161" t="s">
        <v>349</v>
      </c>
      <c r="J34" s="160" t="s">
        <v>355</v>
      </c>
      <c r="K34" s="160" t="s">
        <v>351</v>
      </c>
      <c r="L34" s="160" t="s">
        <v>352</v>
      </c>
      <c r="M34" s="160" t="s">
        <v>353</v>
      </c>
      <c r="N34" s="160" t="s">
        <v>357</v>
      </c>
      <c r="P34" s="161" t="s">
        <v>349</v>
      </c>
      <c r="Q34" s="160" t="s">
        <v>355</v>
      </c>
      <c r="R34" s="160" t="s">
        <v>356</v>
      </c>
      <c r="S34" s="160" t="s">
        <v>358</v>
      </c>
      <c r="T34" s="160" t="s">
        <v>353</v>
      </c>
      <c r="U34" s="160" t="s">
        <v>359</v>
      </c>
      <c r="V34" s="172"/>
      <c r="X34" s="161" t="s">
        <v>349</v>
      </c>
      <c r="Y34" s="160" t="s">
        <v>360</v>
      </c>
      <c r="Z34" s="160" t="s">
        <v>327</v>
      </c>
      <c r="AA34" s="160" t="s">
        <v>361</v>
      </c>
      <c r="AB34" s="160" t="s">
        <v>362</v>
      </c>
      <c r="AC34" s="160" t="s">
        <v>363</v>
      </c>
      <c r="AE34" s="161" t="s">
        <v>349</v>
      </c>
      <c r="AF34" s="160" t="s">
        <v>364</v>
      </c>
      <c r="AG34" s="160" t="s">
        <v>351</v>
      </c>
      <c r="AH34" s="160" t="s">
        <v>352</v>
      </c>
      <c r="AI34" s="160" t="s">
        <v>365</v>
      </c>
      <c r="AJ34" s="160" t="s">
        <v>366</v>
      </c>
      <c r="AL34" s="161" t="s">
        <v>349</v>
      </c>
      <c r="AM34" s="160" t="s">
        <v>355</v>
      </c>
      <c r="AN34" s="160" t="s">
        <v>356</v>
      </c>
      <c r="AO34" s="160" t="s">
        <v>358</v>
      </c>
      <c r="AP34" s="160" t="s">
        <v>365</v>
      </c>
      <c r="AQ34" s="160" t="s">
        <v>367</v>
      </c>
      <c r="AR34" s="172"/>
      <c r="AT34" s="161" t="s">
        <v>349</v>
      </c>
      <c r="AU34" s="160" t="s">
        <v>368</v>
      </c>
      <c r="AV34" s="160" t="s">
        <v>327</v>
      </c>
      <c r="AW34" s="160" t="s">
        <v>460</v>
      </c>
      <c r="AX34" s="160" t="s">
        <v>362</v>
      </c>
      <c r="AY34" s="160" t="s">
        <v>370</v>
      </c>
      <c r="BA34" s="161" t="s">
        <v>349</v>
      </c>
      <c r="BB34" s="160" t="s">
        <v>371</v>
      </c>
      <c r="BC34" s="160" t="s">
        <v>327</v>
      </c>
      <c r="BD34" s="160" t="s">
        <v>352</v>
      </c>
      <c r="BE34" s="160" t="s">
        <v>365</v>
      </c>
      <c r="BF34" s="160" t="s">
        <v>427</v>
      </c>
      <c r="BH34" s="161" t="s">
        <v>349</v>
      </c>
      <c r="BI34" s="160" t="s">
        <v>355</v>
      </c>
      <c r="BJ34" s="160" t="s">
        <v>356</v>
      </c>
      <c r="BK34" s="160" t="s">
        <v>358</v>
      </c>
      <c r="BL34" s="160" t="s">
        <v>365</v>
      </c>
      <c r="BM34" s="160" t="s">
        <v>367</v>
      </c>
    </row>
    <row r="35" spans="1:65">
      <c r="V35" s="172"/>
      <c r="AR35" s="172"/>
    </row>
    <row r="36" spans="1:65" ht="12" customHeight="1">
      <c r="A36" s="165" t="s">
        <v>484</v>
      </c>
      <c r="B36" s="165"/>
      <c r="C36" s="166"/>
      <c r="D36" s="166"/>
      <c r="E36" s="166"/>
      <c r="F36" s="166"/>
      <c r="G36" s="166"/>
      <c r="H36" s="166"/>
      <c r="I36" s="167"/>
      <c r="J36" s="166"/>
      <c r="K36" s="166"/>
      <c r="L36" s="166"/>
      <c r="M36" s="166"/>
      <c r="N36" s="166"/>
      <c r="O36" s="166"/>
      <c r="P36" s="167"/>
      <c r="Q36" s="166"/>
      <c r="R36" s="166"/>
      <c r="S36" s="166"/>
      <c r="T36" s="166"/>
      <c r="U36" s="166"/>
      <c r="V36" s="168"/>
      <c r="W36" s="166"/>
      <c r="X36" s="167"/>
      <c r="Y36" s="166"/>
      <c r="Z36" s="166"/>
      <c r="AA36" s="166"/>
      <c r="AB36" s="166"/>
      <c r="AC36" s="166"/>
      <c r="AD36" s="166"/>
      <c r="AE36" s="167"/>
      <c r="AF36" s="166"/>
      <c r="AG36" s="166"/>
      <c r="AH36" s="166"/>
      <c r="AI36" s="166"/>
      <c r="AJ36" s="166"/>
      <c r="AK36" s="166"/>
      <c r="AL36" s="167"/>
      <c r="AM36" s="166"/>
      <c r="AN36" s="166"/>
      <c r="AO36" s="166"/>
      <c r="AP36" s="166"/>
      <c r="AQ36" s="166"/>
      <c r="AR36" s="168"/>
      <c r="AS36" s="166"/>
      <c r="AT36" s="167"/>
      <c r="AU36" s="166"/>
      <c r="AV36" s="166"/>
      <c r="AW36" s="166"/>
      <c r="AX36" s="166"/>
      <c r="AY36" s="166"/>
      <c r="AZ36" s="166"/>
      <c r="BA36" s="167"/>
      <c r="BB36" s="166"/>
      <c r="BC36" s="166"/>
      <c r="BD36" s="166"/>
      <c r="BE36" s="166"/>
      <c r="BF36" s="166"/>
      <c r="BG36" s="166"/>
      <c r="BH36" s="167"/>
      <c r="BI36" s="166"/>
      <c r="BJ36" s="166"/>
      <c r="BK36" s="166"/>
      <c r="BL36" s="166"/>
      <c r="BM36" s="166"/>
    </row>
    <row r="37" spans="1:65" s="170" customFormat="1">
      <c r="A37" s="169"/>
      <c r="B37" s="169" t="s">
        <v>485</v>
      </c>
      <c r="I37" s="169" t="s">
        <v>486</v>
      </c>
      <c r="P37" s="169" t="s">
        <v>487</v>
      </c>
      <c r="V37" s="171"/>
      <c r="X37" s="169" t="s">
        <v>488</v>
      </c>
      <c r="AE37" s="169" t="s">
        <v>489</v>
      </c>
      <c r="AL37" s="169" t="s">
        <v>490</v>
      </c>
      <c r="AR37" s="171"/>
      <c r="AT37" s="169" t="s">
        <v>491</v>
      </c>
      <c r="BA37" s="169" t="s">
        <v>492</v>
      </c>
      <c r="BH37" s="169" t="s">
        <v>493</v>
      </c>
    </row>
    <row r="38" spans="1:65">
      <c r="C38" s="160" t="s">
        <v>243</v>
      </c>
      <c r="D38" s="160" t="s">
        <v>23</v>
      </c>
      <c r="E38" s="160" t="s">
        <v>24</v>
      </c>
      <c r="F38" s="160" t="s">
        <v>244</v>
      </c>
      <c r="G38" s="160" t="s">
        <v>26</v>
      </c>
      <c r="J38" s="160" t="s">
        <v>243</v>
      </c>
      <c r="K38" s="160" t="s">
        <v>23</v>
      </c>
      <c r="L38" s="160" t="s">
        <v>24</v>
      </c>
      <c r="M38" s="160" t="s">
        <v>244</v>
      </c>
      <c r="N38" s="160" t="s">
        <v>26</v>
      </c>
      <c r="Q38" s="160" t="s">
        <v>243</v>
      </c>
      <c r="R38" s="160" t="s">
        <v>23</v>
      </c>
      <c r="S38" s="160" t="s">
        <v>24</v>
      </c>
      <c r="T38" s="160" t="s">
        <v>244</v>
      </c>
      <c r="U38" s="160" t="s">
        <v>26</v>
      </c>
      <c r="V38" s="172"/>
      <c r="Y38" s="160" t="s">
        <v>243</v>
      </c>
      <c r="Z38" s="160" t="s">
        <v>23</v>
      </c>
      <c r="AA38" s="160" t="s">
        <v>24</v>
      </c>
      <c r="AB38" s="160" t="s">
        <v>244</v>
      </c>
      <c r="AC38" s="160" t="s">
        <v>26</v>
      </c>
      <c r="AF38" s="160" t="s">
        <v>243</v>
      </c>
      <c r="AG38" s="160" t="s">
        <v>23</v>
      </c>
      <c r="AH38" s="160" t="s">
        <v>24</v>
      </c>
      <c r="AI38" s="160" t="s">
        <v>244</v>
      </c>
      <c r="AJ38" s="160" t="s">
        <v>26</v>
      </c>
      <c r="AM38" s="160" t="s">
        <v>243</v>
      </c>
      <c r="AN38" s="160" t="s">
        <v>23</v>
      </c>
      <c r="AO38" s="160" t="s">
        <v>24</v>
      </c>
      <c r="AP38" s="160" t="s">
        <v>244</v>
      </c>
      <c r="AQ38" s="160" t="s">
        <v>26</v>
      </c>
      <c r="AR38" s="172"/>
      <c r="AU38" s="160" t="s">
        <v>243</v>
      </c>
      <c r="AV38" s="160" t="s">
        <v>23</v>
      </c>
      <c r="AW38" s="160" t="s">
        <v>24</v>
      </c>
      <c r="AX38" s="160" t="s">
        <v>244</v>
      </c>
      <c r="AY38" s="160" t="s">
        <v>26</v>
      </c>
      <c r="BB38" s="160" t="s">
        <v>243</v>
      </c>
      <c r="BC38" s="160" t="s">
        <v>23</v>
      </c>
      <c r="BD38" s="160" t="s">
        <v>24</v>
      </c>
      <c r="BE38" s="160" t="s">
        <v>244</v>
      </c>
      <c r="BF38" s="160" t="s">
        <v>26</v>
      </c>
      <c r="BI38" s="160" t="s">
        <v>243</v>
      </c>
      <c r="BJ38" s="160" t="s">
        <v>23</v>
      </c>
      <c r="BK38" s="160" t="s">
        <v>24</v>
      </c>
      <c r="BL38" s="160" t="s">
        <v>244</v>
      </c>
      <c r="BM38" s="160" t="s">
        <v>26</v>
      </c>
    </row>
    <row r="39" spans="1:65">
      <c r="B39" s="161" t="s">
        <v>26</v>
      </c>
      <c r="C39" s="160" t="s">
        <v>494</v>
      </c>
      <c r="D39" s="160" t="s">
        <v>495</v>
      </c>
      <c r="E39" s="160" t="s">
        <v>496</v>
      </c>
      <c r="F39" s="160" t="s">
        <v>248</v>
      </c>
      <c r="G39" s="160" t="s">
        <v>497</v>
      </c>
      <c r="I39" s="161" t="s">
        <v>26</v>
      </c>
      <c r="J39" s="160" t="s">
        <v>498</v>
      </c>
      <c r="K39" s="160" t="s">
        <v>499</v>
      </c>
      <c r="L39" s="160" t="s">
        <v>500</v>
      </c>
      <c r="M39" s="160" t="s">
        <v>253</v>
      </c>
      <c r="N39" s="160" t="s">
        <v>501</v>
      </c>
      <c r="P39" s="161" t="s">
        <v>26</v>
      </c>
      <c r="Q39" s="160" t="s">
        <v>502</v>
      </c>
      <c r="R39" s="160" t="s">
        <v>256</v>
      </c>
      <c r="S39" s="160" t="s">
        <v>257</v>
      </c>
      <c r="T39" s="160" t="s">
        <v>253</v>
      </c>
      <c r="U39" s="160" t="s">
        <v>503</v>
      </c>
      <c r="V39" s="172"/>
      <c r="X39" s="161" t="s">
        <v>26</v>
      </c>
      <c r="Y39" s="160" t="s">
        <v>504</v>
      </c>
      <c r="Z39" s="160" t="s">
        <v>505</v>
      </c>
      <c r="AA39" s="160" t="s">
        <v>506</v>
      </c>
      <c r="AB39" s="160" t="s">
        <v>262</v>
      </c>
      <c r="AC39" s="160" t="s">
        <v>507</v>
      </c>
      <c r="AE39" s="161" t="s">
        <v>26</v>
      </c>
      <c r="AF39" s="160" t="s">
        <v>508</v>
      </c>
      <c r="AG39" s="160" t="s">
        <v>509</v>
      </c>
      <c r="AH39" s="160" t="s">
        <v>510</v>
      </c>
      <c r="AI39" s="160" t="s">
        <v>267</v>
      </c>
      <c r="AJ39" s="160" t="s">
        <v>511</v>
      </c>
      <c r="AL39" s="161" t="s">
        <v>26</v>
      </c>
      <c r="AM39" s="160" t="s">
        <v>512</v>
      </c>
      <c r="AN39" s="160" t="s">
        <v>256</v>
      </c>
      <c r="AO39" s="160" t="s">
        <v>257</v>
      </c>
      <c r="AP39" s="160" t="s">
        <v>267</v>
      </c>
      <c r="AQ39" s="160" t="s">
        <v>513</v>
      </c>
      <c r="AR39" s="172"/>
      <c r="AT39" s="161" t="s">
        <v>26</v>
      </c>
      <c r="AU39" s="160" t="s">
        <v>271</v>
      </c>
      <c r="AV39" s="160" t="s">
        <v>444</v>
      </c>
      <c r="AW39" s="160" t="s">
        <v>445</v>
      </c>
      <c r="AX39" s="160" t="s">
        <v>262</v>
      </c>
      <c r="AY39" s="160" t="s">
        <v>446</v>
      </c>
      <c r="BA39" s="161" t="s">
        <v>26</v>
      </c>
      <c r="BB39" s="160" t="s">
        <v>514</v>
      </c>
      <c r="BC39" s="160" t="s">
        <v>515</v>
      </c>
      <c r="BD39" s="160" t="s">
        <v>516</v>
      </c>
      <c r="BE39" s="160" t="s">
        <v>267</v>
      </c>
      <c r="BF39" s="160" t="s">
        <v>517</v>
      </c>
      <c r="BH39" s="161" t="s">
        <v>26</v>
      </c>
      <c r="BI39" s="160" t="s">
        <v>518</v>
      </c>
      <c r="BJ39" s="160" t="s">
        <v>256</v>
      </c>
      <c r="BK39" s="160" t="s">
        <v>257</v>
      </c>
      <c r="BL39" s="160" t="s">
        <v>267</v>
      </c>
      <c r="BM39" s="160" t="s">
        <v>519</v>
      </c>
    </row>
    <row r="40" spans="1:65">
      <c r="B40" s="161" t="s">
        <v>281</v>
      </c>
      <c r="C40" s="160" t="s">
        <v>520</v>
      </c>
      <c r="D40" s="160" t="s">
        <v>521</v>
      </c>
      <c r="E40" s="160" t="s">
        <v>522</v>
      </c>
      <c r="F40" s="160" t="s">
        <v>285</v>
      </c>
      <c r="G40" s="160" t="s">
        <v>523</v>
      </c>
      <c r="I40" s="161" t="s">
        <v>281</v>
      </c>
      <c r="J40" s="160" t="s">
        <v>524</v>
      </c>
      <c r="K40" s="160" t="s">
        <v>438</v>
      </c>
      <c r="L40" s="160" t="s">
        <v>525</v>
      </c>
      <c r="M40" s="160" t="s">
        <v>289</v>
      </c>
      <c r="N40" s="160" t="s">
        <v>526</v>
      </c>
      <c r="P40" s="161" t="s">
        <v>281</v>
      </c>
      <c r="Q40" s="160" t="s">
        <v>527</v>
      </c>
      <c r="R40" s="160" t="s">
        <v>292</v>
      </c>
      <c r="S40" s="160" t="s">
        <v>293</v>
      </c>
      <c r="T40" s="160" t="s">
        <v>289</v>
      </c>
      <c r="U40" s="160" t="s">
        <v>528</v>
      </c>
      <c r="V40" s="172"/>
      <c r="X40" s="161" t="s">
        <v>281</v>
      </c>
      <c r="Y40" s="160" t="s">
        <v>529</v>
      </c>
      <c r="Z40" s="160" t="s">
        <v>530</v>
      </c>
      <c r="AA40" s="160" t="s">
        <v>531</v>
      </c>
      <c r="AB40" s="160" t="s">
        <v>298</v>
      </c>
      <c r="AC40" s="160" t="s">
        <v>532</v>
      </c>
      <c r="AE40" s="161" t="s">
        <v>281</v>
      </c>
      <c r="AF40" s="160" t="s">
        <v>533</v>
      </c>
      <c r="AG40" s="160" t="s">
        <v>534</v>
      </c>
      <c r="AH40" s="160" t="s">
        <v>535</v>
      </c>
      <c r="AI40" s="160" t="s">
        <v>303</v>
      </c>
      <c r="AJ40" s="160" t="s">
        <v>536</v>
      </c>
      <c r="AL40" s="161" t="s">
        <v>281</v>
      </c>
      <c r="AM40" s="160" t="s">
        <v>537</v>
      </c>
      <c r="AN40" s="160" t="s">
        <v>292</v>
      </c>
      <c r="AO40" s="160" t="s">
        <v>293</v>
      </c>
      <c r="AP40" s="160" t="s">
        <v>303</v>
      </c>
      <c r="AQ40" s="160" t="s">
        <v>538</v>
      </c>
      <c r="AR40" s="172"/>
      <c r="AT40" s="161" t="s">
        <v>281</v>
      </c>
      <c r="AU40" s="160" t="s">
        <v>307</v>
      </c>
      <c r="AV40" s="160" t="s">
        <v>453</v>
      </c>
      <c r="AW40" s="160" t="s">
        <v>454</v>
      </c>
      <c r="AX40" s="160" t="s">
        <v>298</v>
      </c>
      <c r="AY40" s="160" t="s">
        <v>455</v>
      </c>
      <c r="BA40" s="161" t="s">
        <v>281</v>
      </c>
      <c r="BB40" s="160" t="s">
        <v>539</v>
      </c>
      <c r="BC40" s="160" t="s">
        <v>385</v>
      </c>
      <c r="BD40" s="160" t="s">
        <v>540</v>
      </c>
      <c r="BE40" s="160" t="s">
        <v>303</v>
      </c>
      <c r="BF40" s="160" t="s">
        <v>541</v>
      </c>
      <c r="BH40" s="161" t="s">
        <v>281</v>
      </c>
      <c r="BI40" s="160" t="s">
        <v>542</v>
      </c>
      <c r="BJ40" s="160" t="s">
        <v>292</v>
      </c>
      <c r="BK40" s="160" t="s">
        <v>293</v>
      </c>
      <c r="BL40" s="160" t="s">
        <v>303</v>
      </c>
      <c r="BM40" s="160" t="s">
        <v>543</v>
      </c>
    </row>
    <row r="41" spans="1:65">
      <c r="B41" s="161" t="s">
        <v>317</v>
      </c>
      <c r="C41" s="160" t="s">
        <v>318</v>
      </c>
      <c r="D41" s="160" t="s">
        <v>369</v>
      </c>
      <c r="E41" s="160" t="s">
        <v>544</v>
      </c>
      <c r="F41" s="160" t="s">
        <v>321</v>
      </c>
      <c r="G41" s="160" t="s">
        <v>545</v>
      </c>
      <c r="I41" s="161" t="s">
        <v>317</v>
      </c>
      <c r="J41" s="160" t="s">
        <v>318</v>
      </c>
      <c r="K41" s="160" t="s">
        <v>319</v>
      </c>
      <c r="L41" s="160" t="s">
        <v>544</v>
      </c>
      <c r="M41" s="160" t="s">
        <v>324</v>
      </c>
      <c r="N41" s="160" t="s">
        <v>546</v>
      </c>
      <c r="P41" s="161" t="s">
        <v>317</v>
      </c>
      <c r="Q41" s="160" t="s">
        <v>338</v>
      </c>
      <c r="R41" s="160" t="s">
        <v>327</v>
      </c>
      <c r="S41" s="160" t="s">
        <v>328</v>
      </c>
      <c r="T41" s="160" t="s">
        <v>324</v>
      </c>
      <c r="U41" s="160" t="s">
        <v>329</v>
      </c>
      <c r="V41" s="172"/>
      <c r="X41" s="161" t="s">
        <v>317</v>
      </c>
      <c r="Y41" s="160" t="s">
        <v>330</v>
      </c>
      <c r="Z41" s="160" t="s">
        <v>319</v>
      </c>
      <c r="AA41" s="160" t="s">
        <v>332</v>
      </c>
      <c r="AB41" s="160" t="s">
        <v>333</v>
      </c>
      <c r="AC41" s="160" t="s">
        <v>547</v>
      </c>
      <c r="AE41" s="161" t="s">
        <v>317</v>
      </c>
      <c r="AF41" s="160" t="s">
        <v>335</v>
      </c>
      <c r="AG41" s="160" t="s">
        <v>323</v>
      </c>
      <c r="AH41" s="160" t="s">
        <v>320</v>
      </c>
      <c r="AI41" s="160" t="s">
        <v>336</v>
      </c>
      <c r="AJ41" s="160" t="s">
        <v>548</v>
      </c>
      <c r="AL41" s="161" t="s">
        <v>317</v>
      </c>
      <c r="AM41" s="160" t="s">
        <v>347</v>
      </c>
      <c r="AN41" s="160" t="s">
        <v>327</v>
      </c>
      <c r="AO41" s="160" t="s">
        <v>328</v>
      </c>
      <c r="AP41" s="160" t="s">
        <v>336</v>
      </c>
      <c r="AQ41" s="160" t="s">
        <v>348</v>
      </c>
      <c r="AR41" s="172"/>
      <c r="AT41" s="161" t="s">
        <v>317</v>
      </c>
      <c r="AU41" s="160" t="s">
        <v>340</v>
      </c>
      <c r="AV41" s="160" t="s">
        <v>331</v>
      </c>
      <c r="AW41" s="160" t="s">
        <v>458</v>
      </c>
      <c r="AX41" s="160" t="s">
        <v>333</v>
      </c>
      <c r="AY41" s="160" t="s">
        <v>459</v>
      </c>
      <c r="BA41" s="161" t="s">
        <v>317</v>
      </c>
      <c r="BB41" s="160" t="s">
        <v>343</v>
      </c>
      <c r="BC41" s="160" t="s">
        <v>331</v>
      </c>
      <c r="BD41" s="160" t="s">
        <v>332</v>
      </c>
      <c r="BE41" s="160" t="s">
        <v>336</v>
      </c>
      <c r="BF41" s="160" t="s">
        <v>549</v>
      </c>
      <c r="BH41" s="161" t="s">
        <v>317</v>
      </c>
      <c r="BI41" s="160" t="s">
        <v>318</v>
      </c>
      <c r="BJ41" s="160" t="s">
        <v>327</v>
      </c>
      <c r="BK41" s="160" t="s">
        <v>328</v>
      </c>
      <c r="BL41" s="160" t="s">
        <v>336</v>
      </c>
      <c r="BM41" s="160" t="s">
        <v>348</v>
      </c>
    </row>
    <row r="42" spans="1:65">
      <c r="B42" s="161" t="s">
        <v>349</v>
      </c>
      <c r="C42" s="160" t="s">
        <v>350</v>
      </c>
      <c r="D42" s="160" t="s">
        <v>351</v>
      </c>
      <c r="E42" s="160" t="s">
        <v>352</v>
      </c>
      <c r="F42" s="160" t="s">
        <v>353</v>
      </c>
      <c r="G42" s="160" t="s">
        <v>354</v>
      </c>
      <c r="I42" s="161" t="s">
        <v>349</v>
      </c>
      <c r="J42" s="160" t="s">
        <v>355</v>
      </c>
      <c r="K42" s="160" t="s">
        <v>356</v>
      </c>
      <c r="L42" s="160" t="s">
        <v>358</v>
      </c>
      <c r="M42" s="160" t="s">
        <v>353</v>
      </c>
      <c r="N42" s="160" t="s">
        <v>357</v>
      </c>
      <c r="P42" s="161" t="s">
        <v>349</v>
      </c>
      <c r="Q42" s="160" t="s">
        <v>355</v>
      </c>
      <c r="R42" s="160" t="s">
        <v>356</v>
      </c>
      <c r="S42" s="160" t="s">
        <v>358</v>
      </c>
      <c r="T42" s="160" t="s">
        <v>353</v>
      </c>
      <c r="U42" s="160" t="s">
        <v>359</v>
      </c>
      <c r="V42" s="172"/>
      <c r="X42" s="161" t="s">
        <v>349</v>
      </c>
      <c r="Y42" s="160" t="s">
        <v>360</v>
      </c>
      <c r="Z42" s="160" t="s">
        <v>327</v>
      </c>
      <c r="AA42" s="160" t="s">
        <v>361</v>
      </c>
      <c r="AB42" s="160" t="s">
        <v>362</v>
      </c>
      <c r="AC42" s="160" t="s">
        <v>363</v>
      </c>
      <c r="AE42" s="161" t="s">
        <v>349</v>
      </c>
      <c r="AF42" s="160" t="s">
        <v>364</v>
      </c>
      <c r="AG42" s="160" t="s">
        <v>356</v>
      </c>
      <c r="AH42" s="160" t="s">
        <v>352</v>
      </c>
      <c r="AI42" s="160" t="s">
        <v>365</v>
      </c>
      <c r="AJ42" s="160" t="s">
        <v>366</v>
      </c>
      <c r="AL42" s="161" t="s">
        <v>349</v>
      </c>
      <c r="AM42" s="160" t="s">
        <v>355</v>
      </c>
      <c r="AN42" s="160" t="s">
        <v>356</v>
      </c>
      <c r="AO42" s="160" t="s">
        <v>358</v>
      </c>
      <c r="AP42" s="160" t="s">
        <v>365</v>
      </c>
      <c r="AQ42" s="160" t="s">
        <v>367</v>
      </c>
      <c r="AR42" s="172"/>
      <c r="AT42" s="161" t="s">
        <v>349</v>
      </c>
      <c r="AU42" s="160" t="s">
        <v>368</v>
      </c>
      <c r="AV42" s="160" t="s">
        <v>327</v>
      </c>
      <c r="AW42" s="160" t="s">
        <v>460</v>
      </c>
      <c r="AX42" s="160" t="s">
        <v>362</v>
      </c>
      <c r="AY42" s="160" t="s">
        <v>370</v>
      </c>
      <c r="BA42" s="161" t="s">
        <v>349</v>
      </c>
      <c r="BB42" s="160" t="s">
        <v>371</v>
      </c>
      <c r="BC42" s="160" t="s">
        <v>351</v>
      </c>
      <c r="BD42" s="160" t="s">
        <v>352</v>
      </c>
      <c r="BE42" s="160" t="s">
        <v>365</v>
      </c>
      <c r="BF42" s="160" t="s">
        <v>372</v>
      </c>
      <c r="BH42" s="161" t="s">
        <v>349</v>
      </c>
      <c r="BI42" s="160" t="s">
        <v>355</v>
      </c>
      <c r="BJ42" s="160" t="s">
        <v>356</v>
      </c>
      <c r="BK42" s="160" t="s">
        <v>358</v>
      </c>
      <c r="BL42" s="160" t="s">
        <v>365</v>
      </c>
      <c r="BM42" s="160" t="s">
        <v>367</v>
      </c>
    </row>
    <row r="43" spans="1:65">
      <c r="V43" s="172"/>
      <c r="AR43" s="172"/>
    </row>
    <row r="44" spans="1:65" ht="12" customHeight="1">
      <c r="A44" s="165" t="s">
        <v>550</v>
      </c>
      <c r="B44" s="165"/>
      <c r="C44" s="166"/>
      <c r="D44" s="166"/>
      <c r="E44" s="166"/>
      <c r="F44" s="166"/>
      <c r="G44" s="166"/>
      <c r="H44" s="166"/>
      <c r="I44" s="167"/>
      <c r="J44" s="166"/>
      <c r="K44" s="166"/>
      <c r="L44" s="166"/>
      <c r="M44" s="166"/>
      <c r="N44" s="166"/>
      <c r="O44" s="166"/>
      <c r="P44" s="167"/>
      <c r="Q44" s="166"/>
      <c r="R44" s="166"/>
      <c r="S44" s="166"/>
      <c r="T44" s="166"/>
      <c r="U44" s="166"/>
      <c r="V44" s="168"/>
      <c r="W44" s="166"/>
      <c r="X44" s="167"/>
      <c r="Y44" s="166"/>
      <c r="Z44" s="166"/>
      <c r="AA44" s="166"/>
      <c r="AB44" s="166"/>
      <c r="AC44" s="166"/>
      <c r="AD44" s="166"/>
      <c r="AE44" s="167"/>
      <c r="AF44" s="166"/>
      <c r="AG44" s="166"/>
      <c r="AH44" s="166"/>
      <c r="AI44" s="166"/>
      <c r="AJ44" s="166"/>
      <c r="AK44" s="166"/>
      <c r="AL44" s="167"/>
      <c r="AM44" s="166"/>
      <c r="AN44" s="166"/>
      <c r="AO44" s="166"/>
      <c r="AP44" s="166"/>
      <c r="AQ44" s="166"/>
      <c r="AR44" s="168"/>
      <c r="AS44" s="166"/>
      <c r="AT44" s="167"/>
      <c r="AU44" s="166"/>
      <c r="AV44" s="166"/>
      <c r="AW44" s="166"/>
      <c r="AX44" s="166"/>
      <c r="AY44" s="166"/>
      <c r="AZ44" s="166"/>
      <c r="BA44" s="167"/>
      <c r="BB44" s="166"/>
      <c r="BC44" s="166"/>
      <c r="BD44" s="166"/>
      <c r="BE44" s="166"/>
      <c r="BF44" s="166"/>
      <c r="BG44" s="166"/>
      <c r="BH44" s="167"/>
      <c r="BI44" s="166"/>
      <c r="BJ44" s="166"/>
      <c r="BK44" s="166"/>
      <c r="BL44" s="166"/>
      <c r="BM44" s="166"/>
    </row>
    <row r="45" spans="1:65" s="170" customFormat="1">
      <c r="A45" s="169"/>
      <c r="B45" s="169" t="s">
        <v>551</v>
      </c>
      <c r="I45" s="169" t="s">
        <v>552</v>
      </c>
      <c r="P45" s="169" t="s">
        <v>553</v>
      </c>
      <c r="V45" s="171"/>
      <c r="X45" s="169" t="s">
        <v>554</v>
      </c>
      <c r="AE45" s="169" t="s">
        <v>555</v>
      </c>
      <c r="AL45" s="169" t="s">
        <v>556</v>
      </c>
      <c r="AR45" s="171"/>
      <c r="AT45" s="169" t="s">
        <v>557</v>
      </c>
      <c r="BA45" s="169" t="s">
        <v>558</v>
      </c>
      <c r="BH45" s="169" t="s">
        <v>559</v>
      </c>
    </row>
    <row r="46" spans="1:65">
      <c r="C46" s="160" t="s">
        <v>243</v>
      </c>
      <c r="D46" s="160" t="s">
        <v>23</v>
      </c>
      <c r="E46" s="160" t="s">
        <v>24</v>
      </c>
      <c r="F46" s="160" t="s">
        <v>244</v>
      </c>
      <c r="G46" s="160" t="s">
        <v>26</v>
      </c>
      <c r="J46" s="160" t="s">
        <v>243</v>
      </c>
      <c r="K46" s="160" t="s">
        <v>23</v>
      </c>
      <c r="L46" s="160" t="s">
        <v>24</v>
      </c>
      <c r="M46" s="160" t="s">
        <v>244</v>
      </c>
      <c r="N46" s="160" t="s">
        <v>26</v>
      </c>
      <c r="Q46" s="160" t="s">
        <v>243</v>
      </c>
      <c r="R46" s="160" t="s">
        <v>23</v>
      </c>
      <c r="S46" s="160" t="s">
        <v>24</v>
      </c>
      <c r="T46" s="160" t="s">
        <v>244</v>
      </c>
      <c r="U46" s="160" t="s">
        <v>26</v>
      </c>
      <c r="V46" s="172"/>
      <c r="Y46" s="160" t="s">
        <v>243</v>
      </c>
      <c r="Z46" s="160" t="s">
        <v>23</v>
      </c>
      <c r="AA46" s="160" t="s">
        <v>24</v>
      </c>
      <c r="AB46" s="160" t="s">
        <v>244</v>
      </c>
      <c r="AC46" s="160" t="s">
        <v>26</v>
      </c>
      <c r="AF46" s="160" t="s">
        <v>243</v>
      </c>
      <c r="AG46" s="160" t="s">
        <v>23</v>
      </c>
      <c r="AH46" s="160" t="s">
        <v>24</v>
      </c>
      <c r="AI46" s="160" t="s">
        <v>244</v>
      </c>
      <c r="AJ46" s="160" t="s">
        <v>26</v>
      </c>
      <c r="AM46" s="160" t="s">
        <v>243</v>
      </c>
      <c r="AN46" s="160" t="s">
        <v>23</v>
      </c>
      <c r="AO46" s="160" t="s">
        <v>24</v>
      </c>
      <c r="AP46" s="160" t="s">
        <v>244</v>
      </c>
      <c r="AQ46" s="160" t="s">
        <v>26</v>
      </c>
      <c r="AR46" s="172"/>
      <c r="AU46" s="160" t="s">
        <v>243</v>
      </c>
      <c r="AV46" s="160" t="s">
        <v>23</v>
      </c>
      <c r="AW46" s="160" t="s">
        <v>24</v>
      </c>
      <c r="AX46" s="160" t="s">
        <v>244</v>
      </c>
      <c r="AY46" s="160" t="s">
        <v>26</v>
      </c>
      <c r="BB46" s="160" t="s">
        <v>243</v>
      </c>
      <c r="BC46" s="160" t="s">
        <v>23</v>
      </c>
      <c r="BD46" s="160" t="s">
        <v>24</v>
      </c>
      <c r="BE46" s="160" t="s">
        <v>244</v>
      </c>
      <c r="BF46" s="160" t="s">
        <v>26</v>
      </c>
      <c r="BI46" s="160" t="s">
        <v>243</v>
      </c>
      <c r="BJ46" s="160" t="s">
        <v>23</v>
      </c>
      <c r="BK46" s="160" t="s">
        <v>24</v>
      </c>
      <c r="BL46" s="160" t="s">
        <v>244</v>
      </c>
      <c r="BM46" s="160" t="s">
        <v>26</v>
      </c>
    </row>
    <row r="47" spans="1:65">
      <c r="B47" s="161" t="s">
        <v>26</v>
      </c>
      <c r="C47" s="160" t="s">
        <v>494</v>
      </c>
      <c r="D47" s="160" t="s">
        <v>499</v>
      </c>
      <c r="E47" s="160" t="s">
        <v>496</v>
      </c>
      <c r="F47" s="160" t="s">
        <v>248</v>
      </c>
      <c r="G47" s="160" t="s">
        <v>560</v>
      </c>
      <c r="I47" s="161" t="s">
        <v>26</v>
      </c>
      <c r="J47" s="160" t="s">
        <v>498</v>
      </c>
      <c r="K47" s="160" t="s">
        <v>561</v>
      </c>
      <c r="L47" s="160" t="s">
        <v>500</v>
      </c>
      <c r="M47" s="160" t="s">
        <v>253</v>
      </c>
      <c r="N47" s="160" t="s">
        <v>562</v>
      </c>
      <c r="P47" s="161" t="s">
        <v>26</v>
      </c>
      <c r="Q47" s="160" t="s">
        <v>502</v>
      </c>
      <c r="R47" s="160" t="s">
        <v>388</v>
      </c>
      <c r="S47" s="160" t="s">
        <v>257</v>
      </c>
      <c r="T47" s="160" t="s">
        <v>253</v>
      </c>
      <c r="U47" s="160" t="s">
        <v>563</v>
      </c>
      <c r="V47" s="172"/>
      <c r="X47" s="161" t="s">
        <v>26</v>
      </c>
      <c r="Y47" s="160" t="s">
        <v>504</v>
      </c>
      <c r="Z47" s="160" t="s">
        <v>564</v>
      </c>
      <c r="AA47" s="160" t="s">
        <v>506</v>
      </c>
      <c r="AB47" s="160" t="s">
        <v>262</v>
      </c>
      <c r="AC47" s="160" t="s">
        <v>565</v>
      </c>
      <c r="AE47" s="161" t="s">
        <v>26</v>
      </c>
      <c r="AF47" s="160" t="s">
        <v>508</v>
      </c>
      <c r="AG47" s="160" t="s">
        <v>566</v>
      </c>
      <c r="AH47" s="160" t="s">
        <v>510</v>
      </c>
      <c r="AI47" s="160" t="s">
        <v>267</v>
      </c>
      <c r="AJ47" s="160" t="s">
        <v>567</v>
      </c>
      <c r="AL47" s="161" t="s">
        <v>26</v>
      </c>
      <c r="AM47" s="160" t="s">
        <v>512</v>
      </c>
      <c r="AN47" s="160" t="s">
        <v>388</v>
      </c>
      <c r="AO47" s="160" t="s">
        <v>257</v>
      </c>
      <c r="AP47" s="160" t="s">
        <v>267</v>
      </c>
      <c r="AQ47" s="160" t="s">
        <v>568</v>
      </c>
      <c r="AR47" s="172"/>
      <c r="AT47" s="161" t="s">
        <v>26</v>
      </c>
      <c r="AU47" s="160" t="s">
        <v>271</v>
      </c>
      <c r="AV47" s="160" t="s">
        <v>475</v>
      </c>
      <c r="AW47" s="160" t="s">
        <v>445</v>
      </c>
      <c r="AX47" s="160" t="s">
        <v>262</v>
      </c>
      <c r="AY47" s="160" t="s">
        <v>476</v>
      </c>
      <c r="BA47" s="161" t="s">
        <v>26</v>
      </c>
      <c r="BB47" s="160" t="s">
        <v>514</v>
      </c>
      <c r="BC47" s="160" t="s">
        <v>569</v>
      </c>
      <c r="BD47" s="160" t="s">
        <v>570</v>
      </c>
      <c r="BE47" s="160" t="s">
        <v>267</v>
      </c>
      <c r="BF47" s="160" t="s">
        <v>571</v>
      </c>
      <c r="BH47" s="161" t="s">
        <v>26</v>
      </c>
      <c r="BI47" s="160" t="s">
        <v>518</v>
      </c>
      <c r="BJ47" s="160" t="s">
        <v>388</v>
      </c>
      <c r="BK47" s="160" t="s">
        <v>257</v>
      </c>
      <c r="BL47" s="160" t="s">
        <v>267</v>
      </c>
      <c r="BM47" s="160" t="s">
        <v>572</v>
      </c>
    </row>
    <row r="48" spans="1:65">
      <c r="B48" s="161" t="s">
        <v>281</v>
      </c>
      <c r="C48" s="160" t="s">
        <v>520</v>
      </c>
      <c r="D48" s="160" t="s">
        <v>438</v>
      </c>
      <c r="E48" s="160" t="s">
        <v>522</v>
      </c>
      <c r="F48" s="160" t="s">
        <v>285</v>
      </c>
      <c r="G48" s="160" t="s">
        <v>573</v>
      </c>
      <c r="I48" s="161" t="s">
        <v>281</v>
      </c>
      <c r="J48" s="160" t="s">
        <v>524</v>
      </c>
      <c r="K48" s="160" t="s">
        <v>574</v>
      </c>
      <c r="L48" s="160" t="s">
        <v>525</v>
      </c>
      <c r="M48" s="160" t="s">
        <v>289</v>
      </c>
      <c r="N48" s="160" t="s">
        <v>575</v>
      </c>
      <c r="P48" s="161" t="s">
        <v>281</v>
      </c>
      <c r="Q48" s="160" t="s">
        <v>527</v>
      </c>
      <c r="R48" s="160" t="s">
        <v>404</v>
      </c>
      <c r="S48" s="160" t="s">
        <v>293</v>
      </c>
      <c r="T48" s="160" t="s">
        <v>289</v>
      </c>
      <c r="U48" s="160" t="s">
        <v>576</v>
      </c>
      <c r="V48" s="172"/>
      <c r="X48" s="161" t="s">
        <v>281</v>
      </c>
      <c r="Y48" s="160" t="s">
        <v>529</v>
      </c>
      <c r="Z48" s="160" t="s">
        <v>577</v>
      </c>
      <c r="AA48" s="160" t="s">
        <v>578</v>
      </c>
      <c r="AB48" s="160" t="s">
        <v>298</v>
      </c>
      <c r="AC48" s="160" t="s">
        <v>579</v>
      </c>
      <c r="AE48" s="161" t="s">
        <v>281</v>
      </c>
      <c r="AF48" s="160" t="s">
        <v>533</v>
      </c>
      <c r="AG48" s="160" t="s">
        <v>580</v>
      </c>
      <c r="AH48" s="160" t="s">
        <v>535</v>
      </c>
      <c r="AI48" s="160" t="s">
        <v>303</v>
      </c>
      <c r="AJ48" s="160" t="s">
        <v>581</v>
      </c>
      <c r="AL48" s="161" t="s">
        <v>281</v>
      </c>
      <c r="AM48" s="160" t="s">
        <v>537</v>
      </c>
      <c r="AN48" s="160" t="s">
        <v>404</v>
      </c>
      <c r="AO48" s="160" t="s">
        <v>293</v>
      </c>
      <c r="AP48" s="160" t="s">
        <v>303</v>
      </c>
      <c r="AQ48" s="160" t="s">
        <v>582</v>
      </c>
      <c r="AR48" s="172"/>
      <c r="AT48" s="161" t="s">
        <v>281</v>
      </c>
      <c r="AU48" s="160" t="s">
        <v>307</v>
      </c>
      <c r="AV48" s="160" t="s">
        <v>312</v>
      </c>
      <c r="AW48" s="160" t="s">
        <v>481</v>
      </c>
      <c r="AX48" s="160" t="s">
        <v>298</v>
      </c>
      <c r="AY48" s="160" t="s">
        <v>482</v>
      </c>
      <c r="BA48" s="161" t="s">
        <v>281</v>
      </c>
      <c r="BB48" s="160" t="s">
        <v>539</v>
      </c>
      <c r="BC48" s="160" t="s">
        <v>390</v>
      </c>
      <c r="BD48" s="160" t="s">
        <v>583</v>
      </c>
      <c r="BE48" s="160" t="s">
        <v>303</v>
      </c>
      <c r="BF48" s="160" t="s">
        <v>584</v>
      </c>
      <c r="BH48" s="161" t="s">
        <v>281</v>
      </c>
      <c r="BI48" s="160" t="s">
        <v>542</v>
      </c>
      <c r="BJ48" s="160" t="s">
        <v>404</v>
      </c>
      <c r="BK48" s="160" t="s">
        <v>293</v>
      </c>
      <c r="BL48" s="160" t="s">
        <v>303</v>
      </c>
      <c r="BM48" s="160" t="s">
        <v>585</v>
      </c>
    </row>
    <row r="49" spans="1:65">
      <c r="B49" s="161" t="s">
        <v>317</v>
      </c>
      <c r="C49" s="160" t="s">
        <v>318</v>
      </c>
      <c r="D49" s="160" t="s">
        <v>319</v>
      </c>
      <c r="E49" s="160" t="s">
        <v>544</v>
      </c>
      <c r="F49" s="160" t="s">
        <v>321</v>
      </c>
      <c r="G49" s="160" t="s">
        <v>322</v>
      </c>
      <c r="I49" s="161" t="s">
        <v>317</v>
      </c>
      <c r="J49" s="160" t="s">
        <v>318</v>
      </c>
      <c r="K49" s="160" t="s">
        <v>319</v>
      </c>
      <c r="L49" s="160" t="s">
        <v>544</v>
      </c>
      <c r="M49" s="160" t="s">
        <v>324</v>
      </c>
      <c r="N49" s="160" t="s">
        <v>325</v>
      </c>
      <c r="P49" s="161" t="s">
        <v>317</v>
      </c>
      <c r="Q49" s="160" t="s">
        <v>338</v>
      </c>
      <c r="R49" s="160" t="s">
        <v>369</v>
      </c>
      <c r="S49" s="160" t="s">
        <v>328</v>
      </c>
      <c r="T49" s="160" t="s">
        <v>324</v>
      </c>
      <c r="U49" s="160" t="s">
        <v>586</v>
      </c>
      <c r="V49" s="172"/>
      <c r="X49" s="161" t="s">
        <v>317</v>
      </c>
      <c r="Y49" s="160" t="s">
        <v>330</v>
      </c>
      <c r="Z49" s="160" t="s">
        <v>331</v>
      </c>
      <c r="AA49" s="160" t="s">
        <v>332</v>
      </c>
      <c r="AB49" s="160" t="s">
        <v>333</v>
      </c>
      <c r="AC49" s="160" t="s">
        <v>334</v>
      </c>
      <c r="AE49" s="161" t="s">
        <v>317</v>
      </c>
      <c r="AF49" s="160" t="s">
        <v>335</v>
      </c>
      <c r="AG49" s="160" t="s">
        <v>331</v>
      </c>
      <c r="AH49" s="160" t="s">
        <v>320</v>
      </c>
      <c r="AI49" s="160" t="s">
        <v>336</v>
      </c>
      <c r="AJ49" s="160" t="s">
        <v>587</v>
      </c>
      <c r="AL49" s="161" t="s">
        <v>317</v>
      </c>
      <c r="AM49" s="160" t="s">
        <v>347</v>
      </c>
      <c r="AN49" s="160" t="s">
        <v>369</v>
      </c>
      <c r="AO49" s="160" t="s">
        <v>328</v>
      </c>
      <c r="AP49" s="160" t="s">
        <v>336</v>
      </c>
      <c r="AQ49" s="160" t="s">
        <v>588</v>
      </c>
      <c r="AR49" s="172"/>
      <c r="AT49" s="161" t="s">
        <v>317</v>
      </c>
      <c r="AU49" s="160" t="s">
        <v>340</v>
      </c>
      <c r="AV49" s="160" t="s">
        <v>423</v>
      </c>
      <c r="AW49" s="160" t="s">
        <v>458</v>
      </c>
      <c r="AX49" s="160" t="s">
        <v>333</v>
      </c>
      <c r="AY49" s="160" t="s">
        <v>424</v>
      </c>
      <c r="BA49" s="161" t="s">
        <v>317</v>
      </c>
      <c r="BB49" s="160" t="s">
        <v>343</v>
      </c>
      <c r="BC49" s="160" t="s">
        <v>344</v>
      </c>
      <c r="BD49" s="160" t="s">
        <v>332</v>
      </c>
      <c r="BE49" s="160" t="s">
        <v>336</v>
      </c>
      <c r="BF49" s="160" t="s">
        <v>589</v>
      </c>
      <c r="BH49" s="161" t="s">
        <v>317</v>
      </c>
      <c r="BI49" s="160" t="s">
        <v>318</v>
      </c>
      <c r="BJ49" s="160" t="s">
        <v>369</v>
      </c>
      <c r="BK49" s="160" t="s">
        <v>328</v>
      </c>
      <c r="BL49" s="160" t="s">
        <v>336</v>
      </c>
      <c r="BM49" s="160" t="s">
        <v>588</v>
      </c>
    </row>
    <row r="50" spans="1:65">
      <c r="B50" s="161" t="s">
        <v>349</v>
      </c>
      <c r="C50" s="160" t="s">
        <v>350</v>
      </c>
      <c r="D50" s="160" t="s">
        <v>351</v>
      </c>
      <c r="E50" s="160" t="s">
        <v>352</v>
      </c>
      <c r="F50" s="160" t="s">
        <v>353</v>
      </c>
      <c r="G50" s="160" t="s">
        <v>354</v>
      </c>
      <c r="I50" s="161" t="s">
        <v>349</v>
      </c>
      <c r="J50" s="160" t="s">
        <v>355</v>
      </c>
      <c r="K50" s="160" t="s">
        <v>356</v>
      </c>
      <c r="L50" s="160" t="s">
        <v>358</v>
      </c>
      <c r="M50" s="160" t="s">
        <v>353</v>
      </c>
      <c r="N50" s="160" t="s">
        <v>357</v>
      </c>
      <c r="P50" s="161" t="s">
        <v>349</v>
      </c>
      <c r="Q50" s="160" t="s">
        <v>355</v>
      </c>
      <c r="R50" s="160" t="s">
        <v>356</v>
      </c>
      <c r="S50" s="160" t="s">
        <v>358</v>
      </c>
      <c r="T50" s="160" t="s">
        <v>353</v>
      </c>
      <c r="U50" s="160" t="s">
        <v>359</v>
      </c>
      <c r="V50" s="172"/>
      <c r="X50" s="161" t="s">
        <v>349</v>
      </c>
      <c r="Y50" s="160" t="s">
        <v>360</v>
      </c>
      <c r="Z50" s="160" t="s">
        <v>351</v>
      </c>
      <c r="AA50" s="160" t="s">
        <v>361</v>
      </c>
      <c r="AB50" s="160" t="s">
        <v>362</v>
      </c>
      <c r="AC50" s="160" t="s">
        <v>363</v>
      </c>
      <c r="AE50" s="161" t="s">
        <v>349</v>
      </c>
      <c r="AF50" s="160" t="s">
        <v>364</v>
      </c>
      <c r="AG50" s="160" t="s">
        <v>351</v>
      </c>
      <c r="AH50" s="160" t="s">
        <v>352</v>
      </c>
      <c r="AI50" s="160" t="s">
        <v>365</v>
      </c>
      <c r="AJ50" s="160" t="s">
        <v>366</v>
      </c>
      <c r="AL50" s="161" t="s">
        <v>349</v>
      </c>
      <c r="AM50" s="160" t="s">
        <v>355</v>
      </c>
      <c r="AN50" s="160" t="s">
        <v>356</v>
      </c>
      <c r="AO50" s="160" t="s">
        <v>358</v>
      </c>
      <c r="AP50" s="160" t="s">
        <v>365</v>
      </c>
      <c r="AQ50" s="160" t="s">
        <v>367</v>
      </c>
      <c r="AR50" s="172"/>
      <c r="AT50" s="161" t="s">
        <v>349</v>
      </c>
      <c r="AU50" s="160" t="s">
        <v>368</v>
      </c>
      <c r="AV50" s="160" t="s">
        <v>327</v>
      </c>
      <c r="AW50" s="160" t="s">
        <v>460</v>
      </c>
      <c r="AX50" s="160" t="s">
        <v>362</v>
      </c>
      <c r="AY50" s="160" t="s">
        <v>370</v>
      </c>
      <c r="BA50" s="161" t="s">
        <v>349</v>
      </c>
      <c r="BB50" s="160" t="s">
        <v>371</v>
      </c>
      <c r="BC50" s="160" t="s">
        <v>351</v>
      </c>
      <c r="BD50" s="160" t="s">
        <v>352</v>
      </c>
      <c r="BE50" s="160" t="s">
        <v>365</v>
      </c>
      <c r="BF50" s="160" t="s">
        <v>372</v>
      </c>
      <c r="BH50" s="161" t="s">
        <v>349</v>
      </c>
      <c r="BI50" s="160" t="s">
        <v>355</v>
      </c>
      <c r="BJ50" s="160" t="s">
        <v>356</v>
      </c>
      <c r="BK50" s="160" t="s">
        <v>358</v>
      </c>
      <c r="BL50" s="160" t="s">
        <v>365</v>
      </c>
      <c r="BM50" s="160" t="s">
        <v>367</v>
      </c>
    </row>
    <row r="51" spans="1:65">
      <c r="V51" s="172"/>
      <c r="AR51" s="172"/>
    </row>
    <row r="52" spans="1:65" ht="12" customHeight="1">
      <c r="A52" s="165" t="s">
        <v>590</v>
      </c>
      <c r="B52" s="165"/>
      <c r="C52" s="166"/>
      <c r="D52" s="166"/>
      <c r="E52" s="166"/>
      <c r="F52" s="166"/>
      <c r="G52" s="166"/>
      <c r="H52" s="166"/>
      <c r="I52" s="167"/>
      <c r="J52" s="166"/>
      <c r="K52" s="166"/>
      <c r="L52" s="166"/>
      <c r="M52" s="166"/>
      <c r="N52" s="166"/>
      <c r="O52" s="166"/>
      <c r="P52" s="167"/>
      <c r="Q52" s="166"/>
      <c r="R52" s="166"/>
      <c r="S52" s="166"/>
      <c r="T52" s="166"/>
      <c r="U52" s="166"/>
      <c r="V52" s="168"/>
      <c r="W52" s="166"/>
      <c r="X52" s="167"/>
      <c r="Y52" s="166"/>
      <c r="Z52" s="166"/>
      <c r="AA52" s="166"/>
      <c r="AB52" s="166"/>
      <c r="AC52" s="166"/>
      <c r="AD52" s="166"/>
      <c r="AE52" s="167"/>
      <c r="AF52" s="166"/>
      <c r="AG52" s="166"/>
      <c r="AH52" s="166"/>
      <c r="AI52" s="166"/>
      <c r="AJ52" s="166"/>
      <c r="AK52" s="166"/>
      <c r="AL52" s="167"/>
      <c r="AM52" s="166"/>
      <c r="AN52" s="166"/>
      <c r="AO52" s="166"/>
      <c r="AP52" s="166"/>
      <c r="AQ52" s="166"/>
      <c r="AR52" s="168"/>
      <c r="AS52" s="166"/>
      <c r="AT52" s="167"/>
      <c r="AU52" s="166"/>
      <c r="AV52" s="166"/>
      <c r="AW52" s="166"/>
      <c r="AX52" s="166"/>
      <c r="AY52" s="166"/>
      <c r="AZ52" s="166"/>
      <c r="BA52" s="167"/>
      <c r="BB52" s="166"/>
      <c r="BC52" s="166"/>
      <c r="BD52" s="166"/>
      <c r="BE52" s="166"/>
      <c r="BF52" s="166"/>
      <c r="BG52" s="166"/>
      <c r="BH52" s="167"/>
      <c r="BI52" s="166"/>
      <c r="BJ52" s="166"/>
      <c r="BK52" s="166"/>
      <c r="BL52" s="166"/>
      <c r="BM52" s="166"/>
    </row>
    <row r="53" spans="1:65" s="170" customFormat="1">
      <c r="A53" s="169"/>
      <c r="B53" s="169" t="s">
        <v>591</v>
      </c>
      <c r="I53" s="169" t="s">
        <v>592</v>
      </c>
      <c r="P53" s="169" t="s">
        <v>593</v>
      </c>
      <c r="V53" s="171"/>
      <c r="X53" s="169" t="s">
        <v>594</v>
      </c>
      <c r="AE53" s="169" t="s">
        <v>595</v>
      </c>
      <c r="AL53" s="169" t="s">
        <v>596</v>
      </c>
      <c r="AR53" s="171"/>
      <c r="AT53" s="169" t="s">
        <v>597</v>
      </c>
      <c r="BA53" s="169" t="s">
        <v>598</v>
      </c>
      <c r="BH53" s="169" t="s">
        <v>599</v>
      </c>
    </row>
    <row r="54" spans="1:65">
      <c r="C54" s="160" t="s">
        <v>243</v>
      </c>
      <c r="D54" s="160" t="s">
        <v>23</v>
      </c>
      <c r="E54" s="160" t="s">
        <v>24</v>
      </c>
      <c r="F54" s="160" t="s">
        <v>244</v>
      </c>
      <c r="G54" s="160" t="s">
        <v>26</v>
      </c>
      <c r="J54" s="160" t="s">
        <v>243</v>
      </c>
      <c r="K54" s="160" t="s">
        <v>23</v>
      </c>
      <c r="L54" s="160" t="s">
        <v>24</v>
      </c>
      <c r="M54" s="160" t="s">
        <v>244</v>
      </c>
      <c r="N54" s="160" t="s">
        <v>26</v>
      </c>
      <c r="Q54" s="160" t="s">
        <v>243</v>
      </c>
      <c r="R54" s="160" t="s">
        <v>23</v>
      </c>
      <c r="S54" s="160" t="s">
        <v>24</v>
      </c>
      <c r="T54" s="160" t="s">
        <v>244</v>
      </c>
      <c r="U54" s="160" t="s">
        <v>26</v>
      </c>
      <c r="V54" s="172"/>
      <c r="Y54" s="160" t="s">
        <v>243</v>
      </c>
      <c r="Z54" s="160" t="s">
        <v>23</v>
      </c>
      <c r="AA54" s="160" t="s">
        <v>24</v>
      </c>
      <c r="AB54" s="160" t="s">
        <v>244</v>
      </c>
      <c r="AC54" s="160" t="s">
        <v>26</v>
      </c>
      <c r="AF54" s="160" t="s">
        <v>243</v>
      </c>
      <c r="AG54" s="160" t="s">
        <v>23</v>
      </c>
      <c r="AH54" s="160" t="s">
        <v>24</v>
      </c>
      <c r="AI54" s="160" t="s">
        <v>244</v>
      </c>
      <c r="AJ54" s="160" t="s">
        <v>26</v>
      </c>
      <c r="AM54" s="160" t="s">
        <v>243</v>
      </c>
      <c r="AN54" s="160" t="s">
        <v>23</v>
      </c>
      <c r="AO54" s="160" t="s">
        <v>24</v>
      </c>
      <c r="AP54" s="160" t="s">
        <v>244</v>
      </c>
      <c r="AQ54" s="160" t="s">
        <v>26</v>
      </c>
      <c r="AR54" s="172"/>
      <c r="AU54" s="160" t="s">
        <v>243</v>
      </c>
      <c r="AV54" s="160" t="s">
        <v>23</v>
      </c>
      <c r="AW54" s="160" t="s">
        <v>24</v>
      </c>
      <c r="AX54" s="160" t="s">
        <v>244</v>
      </c>
      <c r="AY54" s="160" t="s">
        <v>26</v>
      </c>
      <c r="BB54" s="160" t="s">
        <v>243</v>
      </c>
      <c r="BC54" s="160" t="s">
        <v>23</v>
      </c>
      <c r="BD54" s="160" t="s">
        <v>24</v>
      </c>
      <c r="BE54" s="160" t="s">
        <v>244</v>
      </c>
      <c r="BF54" s="160" t="s">
        <v>26</v>
      </c>
      <c r="BI54" s="160" t="s">
        <v>243</v>
      </c>
      <c r="BJ54" s="160" t="s">
        <v>23</v>
      </c>
      <c r="BK54" s="160" t="s">
        <v>24</v>
      </c>
      <c r="BL54" s="160" t="s">
        <v>244</v>
      </c>
      <c r="BM54" s="160" t="s">
        <v>26</v>
      </c>
    </row>
    <row r="55" spans="1:65" s="174" customFormat="1">
      <c r="A55" s="173"/>
      <c r="B55" s="173" t="s">
        <v>26</v>
      </c>
      <c r="C55" s="174" t="s">
        <v>600</v>
      </c>
      <c r="D55" s="174" t="s">
        <v>601</v>
      </c>
      <c r="E55" s="174" t="s">
        <v>602</v>
      </c>
      <c r="F55" s="174" t="s">
        <v>248</v>
      </c>
      <c r="G55" s="174" t="s">
        <v>603</v>
      </c>
      <c r="I55" s="173" t="s">
        <v>26</v>
      </c>
      <c r="J55" s="174" t="s">
        <v>498</v>
      </c>
      <c r="K55" s="174" t="s">
        <v>604</v>
      </c>
      <c r="L55" s="174" t="s">
        <v>605</v>
      </c>
      <c r="M55" s="174" t="s">
        <v>253</v>
      </c>
      <c r="N55" s="174" t="s">
        <v>606</v>
      </c>
      <c r="P55" s="173" t="s">
        <v>26</v>
      </c>
      <c r="Q55" s="174" t="s">
        <v>255</v>
      </c>
      <c r="R55" s="174" t="s">
        <v>499</v>
      </c>
      <c r="S55" s="174" t="s">
        <v>607</v>
      </c>
      <c r="T55" s="174" t="s">
        <v>253</v>
      </c>
      <c r="U55" s="174" t="s">
        <v>608</v>
      </c>
      <c r="V55" s="175"/>
      <c r="X55" s="173" t="s">
        <v>26</v>
      </c>
      <c r="Y55" s="174" t="s">
        <v>259</v>
      </c>
      <c r="Z55" s="174" t="s">
        <v>609</v>
      </c>
      <c r="AA55" s="174" t="s">
        <v>610</v>
      </c>
      <c r="AB55" s="174" t="s">
        <v>248</v>
      </c>
      <c r="AC55" s="174" t="s">
        <v>611</v>
      </c>
      <c r="AE55" s="173" t="s">
        <v>26</v>
      </c>
      <c r="AF55" s="174" t="s">
        <v>508</v>
      </c>
      <c r="AG55" s="174" t="s">
        <v>612</v>
      </c>
      <c r="AH55" s="174" t="s">
        <v>613</v>
      </c>
      <c r="AI55" s="174" t="s">
        <v>253</v>
      </c>
      <c r="AJ55" s="174" t="s">
        <v>614</v>
      </c>
      <c r="AL55" s="173" t="s">
        <v>26</v>
      </c>
      <c r="AM55" s="174" t="s">
        <v>615</v>
      </c>
      <c r="AN55" s="174" t="s">
        <v>499</v>
      </c>
      <c r="AO55" s="174" t="s">
        <v>607</v>
      </c>
      <c r="AP55" s="174" t="s">
        <v>267</v>
      </c>
      <c r="AQ55" s="174" t="s">
        <v>616</v>
      </c>
      <c r="AR55" s="175"/>
      <c r="AT55" s="173" t="s">
        <v>26</v>
      </c>
      <c r="AU55" s="174" t="s">
        <v>617</v>
      </c>
      <c r="AV55" s="174" t="s">
        <v>618</v>
      </c>
      <c r="AW55" s="174" t="s">
        <v>619</v>
      </c>
      <c r="AX55" s="174" t="s">
        <v>248</v>
      </c>
      <c r="AY55" s="174" t="s">
        <v>620</v>
      </c>
      <c r="BA55" s="173" t="s">
        <v>26</v>
      </c>
      <c r="BB55" s="174" t="s">
        <v>621</v>
      </c>
      <c r="BC55" s="174" t="s">
        <v>622</v>
      </c>
      <c r="BD55" s="174" t="s">
        <v>623</v>
      </c>
      <c r="BE55" s="174" t="s">
        <v>253</v>
      </c>
      <c r="BF55" s="174" t="s">
        <v>624</v>
      </c>
      <c r="BH55" s="173" t="s">
        <v>26</v>
      </c>
      <c r="BI55" s="174" t="s">
        <v>279</v>
      </c>
      <c r="BJ55" s="174" t="s">
        <v>499</v>
      </c>
      <c r="BK55" s="174" t="s">
        <v>607</v>
      </c>
      <c r="BL55" s="174" t="s">
        <v>267</v>
      </c>
      <c r="BM55" s="174" t="s">
        <v>625</v>
      </c>
    </row>
    <row r="56" spans="1:65">
      <c r="B56" s="161" t="s">
        <v>281</v>
      </c>
      <c r="C56" s="160" t="s">
        <v>282</v>
      </c>
      <c r="D56" s="160" t="s">
        <v>626</v>
      </c>
      <c r="E56" s="160" t="s">
        <v>627</v>
      </c>
      <c r="F56" s="160" t="s">
        <v>285</v>
      </c>
      <c r="G56" s="160" t="s">
        <v>628</v>
      </c>
      <c r="I56" s="161" t="s">
        <v>281</v>
      </c>
      <c r="J56" s="160" t="s">
        <v>524</v>
      </c>
      <c r="K56" s="160" t="s">
        <v>629</v>
      </c>
      <c r="L56" s="160" t="s">
        <v>630</v>
      </c>
      <c r="M56" s="160" t="s">
        <v>289</v>
      </c>
      <c r="N56" s="160" t="s">
        <v>631</v>
      </c>
      <c r="P56" s="161" t="s">
        <v>281</v>
      </c>
      <c r="Q56" s="160" t="s">
        <v>291</v>
      </c>
      <c r="R56" s="160" t="s">
        <v>632</v>
      </c>
      <c r="S56" s="160" t="s">
        <v>633</v>
      </c>
      <c r="T56" s="160" t="s">
        <v>289</v>
      </c>
      <c r="U56" s="160" t="s">
        <v>634</v>
      </c>
      <c r="V56" s="172"/>
      <c r="X56" s="161" t="s">
        <v>281</v>
      </c>
      <c r="Y56" s="160" t="s">
        <v>635</v>
      </c>
      <c r="Z56" s="160" t="s">
        <v>636</v>
      </c>
      <c r="AA56" s="160" t="s">
        <v>637</v>
      </c>
      <c r="AB56" s="160" t="s">
        <v>285</v>
      </c>
      <c r="AC56" s="160" t="s">
        <v>638</v>
      </c>
      <c r="AE56" s="161" t="s">
        <v>281</v>
      </c>
      <c r="AF56" s="160" t="s">
        <v>639</v>
      </c>
      <c r="AG56" s="160" t="s">
        <v>640</v>
      </c>
      <c r="AH56" s="160" t="s">
        <v>641</v>
      </c>
      <c r="AI56" s="160" t="s">
        <v>289</v>
      </c>
      <c r="AJ56" s="160" t="s">
        <v>642</v>
      </c>
      <c r="AL56" s="161" t="s">
        <v>281</v>
      </c>
      <c r="AM56" s="160" t="s">
        <v>305</v>
      </c>
      <c r="AN56" s="160" t="s">
        <v>632</v>
      </c>
      <c r="AO56" s="160" t="s">
        <v>633</v>
      </c>
      <c r="AP56" s="160" t="s">
        <v>303</v>
      </c>
      <c r="AQ56" s="160" t="s">
        <v>643</v>
      </c>
      <c r="AR56" s="172"/>
      <c r="AT56" s="161" t="s">
        <v>281</v>
      </c>
      <c r="AU56" s="160" t="s">
        <v>644</v>
      </c>
      <c r="AV56" s="160" t="s">
        <v>645</v>
      </c>
      <c r="AW56" s="160" t="s">
        <v>646</v>
      </c>
      <c r="AX56" s="160" t="s">
        <v>285</v>
      </c>
      <c r="AY56" s="160" t="s">
        <v>647</v>
      </c>
      <c r="BA56" s="161" t="s">
        <v>281</v>
      </c>
      <c r="BB56" s="160" t="s">
        <v>648</v>
      </c>
      <c r="BC56" s="160" t="s">
        <v>649</v>
      </c>
      <c r="BD56" s="160" t="s">
        <v>650</v>
      </c>
      <c r="BE56" s="160" t="s">
        <v>289</v>
      </c>
      <c r="BF56" s="160" t="s">
        <v>651</v>
      </c>
      <c r="BH56" s="161" t="s">
        <v>281</v>
      </c>
      <c r="BI56" s="160" t="s">
        <v>652</v>
      </c>
      <c r="BJ56" s="160" t="s">
        <v>632</v>
      </c>
      <c r="BK56" s="160" t="s">
        <v>633</v>
      </c>
      <c r="BL56" s="160" t="s">
        <v>303</v>
      </c>
      <c r="BM56" s="160" t="s">
        <v>653</v>
      </c>
    </row>
    <row r="57" spans="1:65">
      <c r="B57" s="161" t="s">
        <v>317</v>
      </c>
      <c r="C57" s="160" t="s">
        <v>318</v>
      </c>
      <c r="D57" s="160" t="s">
        <v>331</v>
      </c>
      <c r="E57" s="160" t="s">
        <v>320</v>
      </c>
      <c r="F57" s="160" t="s">
        <v>321</v>
      </c>
      <c r="G57" s="160" t="s">
        <v>419</v>
      </c>
      <c r="I57" s="161" t="s">
        <v>317</v>
      </c>
      <c r="J57" s="160" t="s">
        <v>318</v>
      </c>
      <c r="K57" s="160" t="s">
        <v>331</v>
      </c>
      <c r="L57" s="160" t="s">
        <v>320</v>
      </c>
      <c r="M57" s="160" t="s">
        <v>324</v>
      </c>
      <c r="N57" s="160" t="s">
        <v>419</v>
      </c>
      <c r="P57" s="161" t="s">
        <v>317</v>
      </c>
      <c r="Q57" s="160" t="s">
        <v>326</v>
      </c>
      <c r="R57" s="160" t="s">
        <v>319</v>
      </c>
      <c r="S57" s="160" t="s">
        <v>328</v>
      </c>
      <c r="T57" s="160" t="s">
        <v>324</v>
      </c>
      <c r="U57" s="160" t="s">
        <v>329</v>
      </c>
      <c r="V57" s="172"/>
      <c r="X57" s="161" t="s">
        <v>317</v>
      </c>
      <c r="Y57" s="160" t="s">
        <v>330</v>
      </c>
      <c r="Z57" s="160" t="s">
        <v>423</v>
      </c>
      <c r="AA57" s="160" t="s">
        <v>341</v>
      </c>
      <c r="AB57" s="160" t="s">
        <v>321</v>
      </c>
      <c r="AC57" s="160" t="s">
        <v>654</v>
      </c>
      <c r="AE57" s="161" t="s">
        <v>317</v>
      </c>
      <c r="AF57" s="160" t="s">
        <v>335</v>
      </c>
      <c r="AG57" s="160" t="s">
        <v>423</v>
      </c>
      <c r="AH57" s="160" t="s">
        <v>332</v>
      </c>
      <c r="AI57" s="160" t="s">
        <v>324</v>
      </c>
      <c r="AJ57" s="160" t="s">
        <v>655</v>
      </c>
      <c r="AL57" s="161" t="s">
        <v>317</v>
      </c>
      <c r="AM57" s="160" t="s">
        <v>338</v>
      </c>
      <c r="AN57" s="160" t="s">
        <v>319</v>
      </c>
      <c r="AO57" s="160" t="s">
        <v>328</v>
      </c>
      <c r="AP57" s="160" t="s">
        <v>336</v>
      </c>
      <c r="AQ57" s="160" t="s">
        <v>339</v>
      </c>
      <c r="AR57" s="172"/>
      <c r="AT57" s="161" t="s">
        <v>317</v>
      </c>
      <c r="AU57" s="160" t="s">
        <v>340</v>
      </c>
      <c r="AV57" s="160" t="s">
        <v>656</v>
      </c>
      <c r="AW57" s="160" t="s">
        <v>458</v>
      </c>
      <c r="AX57" s="160" t="s">
        <v>321</v>
      </c>
      <c r="AY57" s="160" t="s">
        <v>657</v>
      </c>
      <c r="BA57" s="161" t="s">
        <v>317</v>
      </c>
      <c r="BB57" s="160" t="s">
        <v>343</v>
      </c>
      <c r="BC57" s="160" t="s">
        <v>658</v>
      </c>
      <c r="BD57" s="160" t="s">
        <v>341</v>
      </c>
      <c r="BE57" s="160" t="s">
        <v>324</v>
      </c>
      <c r="BF57" s="160" t="s">
        <v>659</v>
      </c>
      <c r="BH57" s="161" t="s">
        <v>317</v>
      </c>
      <c r="BI57" s="160" t="s">
        <v>347</v>
      </c>
      <c r="BJ57" s="160" t="s">
        <v>319</v>
      </c>
      <c r="BK57" s="160" t="s">
        <v>328</v>
      </c>
      <c r="BL57" s="160" t="s">
        <v>336</v>
      </c>
      <c r="BM57" s="160" t="s">
        <v>348</v>
      </c>
    </row>
    <row r="58" spans="1:65">
      <c r="B58" s="161" t="s">
        <v>349</v>
      </c>
      <c r="C58" s="160" t="s">
        <v>350</v>
      </c>
      <c r="D58" s="160" t="s">
        <v>327</v>
      </c>
      <c r="E58" s="160" t="s">
        <v>361</v>
      </c>
      <c r="F58" s="160" t="s">
        <v>353</v>
      </c>
      <c r="G58" s="160" t="s">
        <v>660</v>
      </c>
      <c r="I58" s="161" t="s">
        <v>349</v>
      </c>
      <c r="J58" s="160" t="s">
        <v>355</v>
      </c>
      <c r="K58" s="160" t="s">
        <v>351</v>
      </c>
      <c r="L58" s="160" t="s">
        <v>352</v>
      </c>
      <c r="M58" s="160" t="s">
        <v>353</v>
      </c>
      <c r="N58" s="160" t="s">
        <v>661</v>
      </c>
      <c r="P58" s="161" t="s">
        <v>349</v>
      </c>
      <c r="Q58" s="160" t="s">
        <v>355</v>
      </c>
      <c r="R58" s="160" t="s">
        <v>356</v>
      </c>
      <c r="S58" s="160" t="s">
        <v>358</v>
      </c>
      <c r="T58" s="160" t="s">
        <v>353</v>
      </c>
      <c r="U58" s="160" t="s">
        <v>359</v>
      </c>
      <c r="V58" s="172"/>
      <c r="X58" s="161" t="s">
        <v>349</v>
      </c>
      <c r="Y58" s="160" t="s">
        <v>360</v>
      </c>
      <c r="Z58" s="160" t="s">
        <v>662</v>
      </c>
      <c r="AA58" s="160" t="s">
        <v>460</v>
      </c>
      <c r="AB58" s="160" t="s">
        <v>353</v>
      </c>
      <c r="AC58" s="160" t="s">
        <v>663</v>
      </c>
      <c r="AE58" s="161" t="s">
        <v>349</v>
      </c>
      <c r="AF58" s="160" t="s">
        <v>364</v>
      </c>
      <c r="AG58" s="160" t="s">
        <v>351</v>
      </c>
      <c r="AH58" s="160" t="s">
        <v>352</v>
      </c>
      <c r="AI58" s="160" t="s">
        <v>353</v>
      </c>
      <c r="AJ58" s="160" t="s">
        <v>664</v>
      </c>
      <c r="AL58" s="161" t="s">
        <v>349</v>
      </c>
      <c r="AM58" s="160" t="s">
        <v>355</v>
      </c>
      <c r="AN58" s="160" t="s">
        <v>356</v>
      </c>
      <c r="AO58" s="160" t="s">
        <v>358</v>
      </c>
      <c r="AP58" s="160" t="s">
        <v>365</v>
      </c>
      <c r="AQ58" s="160" t="s">
        <v>665</v>
      </c>
      <c r="AR58" s="172"/>
      <c r="AT58" s="161" t="s">
        <v>349</v>
      </c>
      <c r="AU58" s="160" t="s">
        <v>368</v>
      </c>
      <c r="AV58" s="160" t="s">
        <v>666</v>
      </c>
      <c r="AW58" s="160" t="s">
        <v>460</v>
      </c>
      <c r="AX58" s="160" t="s">
        <v>353</v>
      </c>
      <c r="AY58" s="160" t="s">
        <v>667</v>
      </c>
      <c r="BA58" s="161" t="s">
        <v>349</v>
      </c>
      <c r="BB58" s="160" t="s">
        <v>371</v>
      </c>
      <c r="BC58" s="160" t="s">
        <v>327</v>
      </c>
      <c r="BD58" s="160" t="s">
        <v>361</v>
      </c>
      <c r="BE58" s="160" t="s">
        <v>353</v>
      </c>
      <c r="BF58" s="160" t="s">
        <v>664</v>
      </c>
      <c r="BH58" s="161" t="s">
        <v>349</v>
      </c>
      <c r="BI58" s="160" t="s">
        <v>355</v>
      </c>
      <c r="BJ58" s="160" t="s">
        <v>356</v>
      </c>
      <c r="BK58" s="160" t="s">
        <v>358</v>
      </c>
      <c r="BL58" s="160" t="s">
        <v>365</v>
      </c>
      <c r="BM58" s="160" t="s">
        <v>665</v>
      </c>
    </row>
    <row r="59" spans="1:65">
      <c r="V59" s="172"/>
      <c r="AR59" s="172"/>
    </row>
    <row r="60" spans="1:65" ht="12" customHeight="1">
      <c r="A60" s="165" t="s">
        <v>668</v>
      </c>
      <c r="B60" s="165"/>
      <c r="C60" s="166"/>
      <c r="D60" s="166"/>
      <c r="E60" s="166"/>
      <c r="F60" s="166"/>
      <c r="G60" s="166"/>
      <c r="H60" s="166"/>
      <c r="I60" s="167"/>
      <c r="J60" s="166"/>
      <c r="K60" s="166"/>
      <c r="L60" s="166"/>
      <c r="M60" s="166"/>
      <c r="N60" s="166"/>
      <c r="O60" s="166"/>
      <c r="P60" s="167"/>
      <c r="Q60" s="166"/>
      <c r="R60" s="166"/>
      <c r="S60" s="166"/>
      <c r="T60" s="166"/>
      <c r="U60" s="166"/>
      <c r="V60" s="168"/>
      <c r="W60" s="166"/>
      <c r="X60" s="167"/>
      <c r="Y60" s="166"/>
      <c r="Z60" s="166"/>
      <c r="AA60" s="166"/>
      <c r="AB60" s="166"/>
      <c r="AC60" s="166"/>
      <c r="AD60" s="166"/>
      <c r="AE60" s="167"/>
      <c r="AF60" s="166"/>
      <c r="AG60" s="166"/>
      <c r="AH60" s="166"/>
      <c r="AI60" s="166"/>
      <c r="AJ60" s="166"/>
      <c r="AK60" s="166"/>
      <c r="AL60" s="167"/>
      <c r="AM60" s="166"/>
      <c r="AN60" s="166"/>
      <c r="AO60" s="166"/>
      <c r="AP60" s="166"/>
      <c r="AQ60" s="166"/>
      <c r="AR60" s="168"/>
      <c r="AS60" s="166"/>
      <c r="AT60" s="167"/>
      <c r="AU60" s="166"/>
      <c r="AV60" s="166"/>
      <c r="AW60" s="166"/>
      <c r="AX60" s="166"/>
      <c r="AY60" s="166"/>
      <c r="AZ60" s="166"/>
      <c r="BA60" s="167"/>
      <c r="BB60" s="166"/>
      <c r="BC60" s="166"/>
      <c r="BD60" s="166"/>
      <c r="BE60" s="166"/>
      <c r="BF60" s="166"/>
      <c r="BG60" s="166"/>
      <c r="BH60" s="167"/>
      <c r="BI60" s="166"/>
      <c r="BJ60" s="166"/>
      <c r="BK60" s="166"/>
      <c r="BL60" s="166"/>
      <c r="BM60" s="166"/>
    </row>
    <row r="61" spans="1:65" s="170" customFormat="1">
      <c r="A61" s="169"/>
      <c r="B61" s="169" t="s">
        <v>669</v>
      </c>
      <c r="I61" s="169" t="s">
        <v>670</v>
      </c>
      <c r="P61" s="169" t="s">
        <v>671</v>
      </c>
      <c r="V61" s="171"/>
      <c r="X61" s="169" t="s">
        <v>672</v>
      </c>
      <c r="AE61" s="169" t="s">
        <v>673</v>
      </c>
      <c r="AL61" s="169" t="s">
        <v>674</v>
      </c>
      <c r="AR61" s="171"/>
      <c r="AT61" s="169" t="s">
        <v>675</v>
      </c>
      <c r="BA61" s="169" t="s">
        <v>676</v>
      </c>
      <c r="BH61" s="169" t="s">
        <v>677</v>
      </c>
    </row>
    <row r="62" spans="1:65">
      <c r="C62" s="160" t="s">
        <v>243</v>
      </c>
      <c r="D62" s="160" t="s">
        <v>23</v>
      </c>
      <c r="E62" s="160" t="s">
        <v>24</v>
      </c>
      <c r="F62" s="160" t="s">
        <v>244</v>
      </c>
      <c r="G62" s="160" t="s">
        <v>26</v>
      </c>
      <c r="J62" s="160" t="s">
        <v>243</v>
      </c>
      <c r="K62" s="160" t="s">
        <v>23</v>
      </c>
      <c r="L62" s="160" t="s">
        <v>24</v>
      </c>
      <c r="M62" s="160" t="s">
        <v>244</v>
      </c>
      <c r="N62" s="160" t="s">
        <v>26</v>
      </c>
      <c r="Q62" s="160" t="s">
        <v>243</v>
      </c>
      <c r="R62" s="160" t="s">
        <v>23</v>
      </c>
      <c r="S62" s="160" t="s">
        <v>24</v>
      </c>
      <c r="T62" s="160" t="s">
        <v>244</v>
      </c>
      <c r="U62" s="160" t="s">
        <v>26</v>
      </c>
      <c r="V62" s="172"/>
      <c r="Y62" s="160" t="s">
        <v>243</v>
      </c>
      <c r="Z62" s="160" t="s">
        <v>23</v>
      </c>
      <c r="AA62" s="160" t="s">
        <v>24</v>
      </c>
      <c r="AB62" s="160" t="s">
        <v>244</v>
      </c>
      <c r="AC62" s="160" t="s">
        <v>26</v>
      </c>
      <c r="AF62" s="160" t="s">
        <v>243</v>
      </c>
      <c r="AG62" s="160" t="s">
        <v>23</v>
      </c>
      <c r="AH62" s="160" t="s">
        <v>24</v>
      </c>
      <c r="AI62" s="160" t="s">
        <v>244</v>
      </c>
      <c r="AJ62" s="160" t="s">
        <v>26</v>
      </c>
      <c r="AM62" s="160" t="s">
        <v>243</v>
      </c>
      <c r="AN62" s="160" t="s">
        <v>23</v>
      </c>
      <c r="AO62" s="160" t="s">
        <v>24</v>
      </c>
      <c r="AP62" s="160" t="s">
        <v>244</v>
      </c>
      <c r="AQ62" s="160" t="s">
        <v>26</v>
      </c>
      <c r="AR62" s="172"/>
      <c r="AU62" s="160" t="s">
        <v>243</v>
      </c>
      <c r="AV62" s="160" t="s">
        <v>23</v>
      </c>
      <c r="AW62" s="160" t="s">
        <v>24</v>
      </c>
      <c r="AX62" s="160" t="s">
        <v>244</v>
      </c>
      <c r="AY62" s="160" t="s">
        <v>26</v>
      </c>
      <c r="BB62" s="160" t="s">
        <v>243</v>
      </c>
      <c r="BC62" s="160" t="s">
        <v>23</v>
      </c>
      <c r="BD62" s="160" t="s">
        <v>24</v>
      </c>
      <c r="BE62" s="160" t="s">
        <v>244</v>
      </c>
      <c r="BF62" s="160" t="s">
        <v>26</v>
      </c>
      <c r="BI62" s="160" t="s">
        <v>243</v>
      </c>
      <c r="BJ62" s="160" t="s">
        <v>23</v>
      </c>
      <c r="BK62" s="160" t="s">
        <v>24</v>
      </c>
      <c r="BL62" s="160" t="s">
        <v>244</v>
      </c>
      <c r="BM62" s="160" t="s">
        <v>26</v>
      </c>
    </row>
    <row r="63" spans="1:65">
      <c r="B63" s="161" t="s">
        <v>26</v>
      </c>
      <c r="C63" s="160" t="s">
        <v>600</v>
      </c>
      <c r="D63" s="160" t="s">
        <v>678</v>
      </c>
      <c r="E63" s="160" t="s">
        <v>679</v>
      </c>
      <c r="F63" s="160" t="s">
        <v>248</v>
      </c>
      <c r="G63" s="160" t="s">
        <v>680</v>
      </c>
      <c r="I63" s="161" t="s">
        <v>26</v>
      </c>
      <c r="J63" s="160" t="s">
        <v>498</v>
      </c>
      <c r="K63" s="160" t="s">
        <v>681</v>
      </c>
      <c r="L63" s="160" t="s">
        <v>682</v>
      </c>
      <c r="M63" s="160" t="s">
        <v>253</v>
      </c>
      <c r="N63" s="160" t="s">
        <v>683</v>
      </c>
      <c r="P63" s="161" t="s">
        <v>26</v>
      </c>
      <c r="Q63" s="160" t="s">
        <v>255</v>
      </c>
      <c r="R63" s="160" t="s">
        <v>684</v>
      </c>
      <c r="S63" s="160" t="s">
        <v>685</v>
      </c>
      <c r="T63" s="160" t="s">
        <v>253</v>
      </c>
      <c r="U63" s="160" t="s">
        <v>686</v>
      </c>
      <c r="V63" s="172"/>
      <c r="X63" s="161" t="s">
        <v>26</v>
      </c>
      <c r="Y63" s="160" t="s">
        <v>259</v>
      </c>
      <c r="Z63" s="160" t="s">
        <v>687</v>
      </c>
      <c r="AA63" s="160" t="s">
        <v>688</v>
      </c>
      <c r="AB63" s="160" t="s">
        <v>262</v>
      </c>
      <c r="AC63" s="160" t="s">
        <v>689</v>
      </c>
      <c r="AE63" s="161" t="s">
        <v>26</v>
      </c>
      <c r="AF63" s="160" t="s">
        <v>508</v>
      </c>
      <c r="AG63" s="160" t="s">
        <v>690</v>
      </c>
      <c r="AH63" s="160" t="s">
        <v>691</v>
      </c>
      <c r="AI63" s="160" t="s">
        <v>267</v>
      </c>
      <c r="AJ63" s="160" t="s">
        <v>692</v>
      </c>
      <c r="AL63" s="161" t="s">
        <v>26</v>
      </c>
      <c r="AM63" s="160" t="s">
        <v>615</v>
      </c>
      <c r="AN63" s="160" t="s">
        <v>684</v>
      </c>
      <c r="AO63" s="160" t="s">
        <v>685</v>
      </c>
      <c r="AP63" s="160" t="s">
        <v>267</v>
      </c>
      <c r="AQ63" s="160" t="s">
        <v>693</v>
      </c>
      <c r="AR63" s="172"/>
      <c r="AT63" s="161" t="s">
        <v>26</v>
      </c>
      <c r="AU63" s="160" t="s">
        <v>617</v>
      </c>
      <c r="AV63" s="160" t="s">
        <v>694</v>
      </c>
      <c r="AW63" s="160" t="s">
        <v>695</v>
      </c>
      <c r="AX63" s="160" t="s">
        <v>262</v>
      </c>
      <c r="AY63" s="160" t="s">
        <v>696</v>
      </c>
      <c r="BA63" s="161" t="s">
        <v>26</v>
      </c>
      <c r="BB63" s="160" t="s">
        <v>621</v>
      </c>
      <c r="BC63" s="160" t="s">
        <v>697</v>
      </c>
      <c r="BD63" s="160" t="s">
        <v>698</v>
      </c>
      <c r="BE63" s="160" t="s">
        <v>267</v>
      </c>
      <c r="BF63" s="160" t="s">
        <v>699</v>
      </c>
      <c r="BH63" s="161" t="s">
        <v>26</v>
      </c>
      <c r="BI63" s="160" t="s">
        <v>279</v>
      </c>
      <c r="BJ63" s="160" t="s">
        <v>684</v>
      </c>
      <c r="BK63" s="160" t="s">
        <v>685</v>
      </c>
      <c r="BL63" s="160" t="s">
        <v>267</v>
      </c>
      <c r="BM63" s="160" t="s">
        <v>700</v>
      </c>
    </row>
    <row r="64" spans="1:65">
      <c r="B64" s="161" t="s">
        <v>281</v>
      </c>
      <c r="C64" s="160" t="s">
        <v>282</v>
      </c>
      <c r="D64" s="160" t="s">
        <v>400</v>
      </c>
      <c r="E64" s="160" t="s">
        <v>701</v>
      </c>
      <c r="F64" s="160" t="s">
        <v>285</v>
      </c>
      <c r="G64" s="160" t="s">
        <v>702</v>
      </c>
      <c r="I64" s="161" t="s">
        <v>281</v>
      </c>
      <c r="J64" s="160" t="s">
        <v>524</v>
      </c>
      <c r="K64" s="160" t="s">
        <v>703</v>
      </c>
      <c r="L64" s="160" t="s">
        <v>704</v>
      </c>
      <c r="M64" s="160" t="s">
        <v>289</v>
      </c>
      <c r="N64" s="160" t="s">
        <v>705</v>
      </c>
      <c r="P64" s="161" t="s">
        <v>281</v>
      </c>
      <c r="Q64" s="160" t="s">
        <v>291</v>
      </c>
      <c r="R64" s="160" t="s">
        <v>706</v>
      </c>
      <c r="S64" s="160" t="s">
        <v>707</v>
      </c>
      <c r="T64" s="160" t="s">
        <v>289</v>
      </c>
      <c r="U64" s="160" t="s">
        <v>708</v>
      </c>
      <c r="V64" s="172"/>
      <c r="X64" s="161" t="s">
        <v>281</v>
      </c>
      <c r="Y64" s="160" t="s">
        <v>635</v>
      </c>
      <c r="Z64" s="160" t="s">
        <v>406</v>
      </c>
      <c r="AA64" s="160" t="s">
        <v>709</v>
      </c>
      <c r="AB64" s="160" t="s">
        <v>298</v>
      </c>
      <c r="AC64" s="160" t="s">
        <v>710</v>
      </c>
      <c r="AE64" s="161" t="s">
        <v>281</v>
      </c>
      <c r="AF64" s="160" t="s">
        <v>639</v>
      </c>
      <c r="AG64" s="160" t="s">
        <v>711</v>
      </c>
      <c r="AH64" s="160" t="s">
        <v>712</v>
      </c>
      <c r="AI64" s="160" t="s">
        <v>303</v>
      </c>
      <c r="AJ64" s="160" t="s">
        <v>713</v>
      </c>
      <c r="AL64" s="161" t="s">
        <v>281</v>
      </c>
      <c r="AM64" s="160" t="s">
        <v>305</v>
      </c>
      <c r="AN64" s="160" t="s">
        <v>706</v>
      </c>
      <c r="AO64" s="160" t="s">
        <v>707</v>
      </c>
      <c r="AP64" s="160" t="s">
        <v>303</v>
      </c>
      <c r="AQ64" s="160" t="s">
        <v>714</v>
      </c>
      <c r="AR64" s="172"/>
      <c r="AT64" s="161" t="s">
        <v>281</v>
      </c>
      <c r="AU64" s="160" t="s">
        <v>644</v>
      </c>
      <c r="AV64" s="160" t="s">
        <v>715</v>
      </c>
      <c r="AW64" s="160" t="s">
        <v>716</v>
      </c>
      <c r="AX64" s="160" t="s">
        <v>298</v>
      </c>
      <c r="AY64" s="160" t="s">
        <v>717</v>
      </c>
      <c r="BA64" s="161" t="s">
        <v>281</v>
      </c>
      <c r="BB64" s="160" t="s">
        <v>648</v>
      </c>
      <c r="BC64" s="160" t="s">
        <v>718</v>
      </c>
      <c r="BD64" s="160" t="s">
        <v>613</v>
      </c>
      <c r="BE64" s="160" t="s">
        <v>303</v>
      </c>
      <c r="BF64" s="160" t="s">
        <v>719</v>
      </c>
      <c r="BH64" s="161" t="s">
        <v>281</v>
      </c>
      <c r="BI64" s="160" t="s">
        <v>652</v>
      </c>
      <c r="BJ64" s="160" t="s">
        <v>706</v>
      </c>
      <c r="BK64" s="160" t="s">
        <v>707</v>
      </c>
      <c r="BL64" s="160" t="s">
        <v>303</v>
      </c>
      <c r="BM64" s="160" t="s">
        <v>720</v>
      </c>
    </row>
    <row r="65" spans="1:65">
      <c r="B65" s="161" t="s">
        <v>317</v>
      </c>
      <c r="C65" s="160" t="s">
        <v>318</v>
      </c>
      <c r="D65" s="160" t="s">
        <v>323</v>
      </c>
      <c r="E65" s="160" t="s">
        <v>544</v>
      </c>
      <c r="F65" s="160" t="s">
        <v>321</v>
      </c>
      <c r="G65" s="160" t="s">
        <v>721</v>
      </c>
      <c r="I65" s="161" t="s">
        <v>317</v>
      </c>
      <c r="J65" s="160" t="s">
        <v>318</v>
      </c>
      <c r="K65" s="160" t="s">
        <v>331</v>
      </c>
      <c r="L65" s="160" t="s">
        <v>544</v>
      </c>
      <c r="M65" s="160" t="s">
        <v>324</v>
      </c>
      <c r="N65" s="160" t="s">
        <v>325</v>
      </c>
      <c r="P65" s="161" t="s">
        <v>317</v>
      </c>
      <c r="Q65" s="160" t="s">
        <v>326</v>
      </c>
      <c r="R65" s="160" t="s">
        <v>369</v>
      </c>
      <c r="S65" s="160" t="s">
        <v>722</v>
      </c>
      <c r="T65" s="160" t="s">
        <v>324</v>
      </c>
      <c r="U65" s="160" t="s">
        <v>329</v>
      </c>
      <c r="V65" s="172"/>
      <c r="X65" s="161" t="s">
        <v>317</v>
      </c>
      <c r="Y65" s="160" t="s">
        <v>330</v>
      </c>
      <c r="Z65" s="160" t="s">
        <v>344</v>
      </c>
      <c r="AA65" s="160" t="s">
        <v>332</v>
      </c>
      <c r="AB65" s="160" t="s">
        <v>333</v>
      </c>
      <c r="AC65" s="160" t="s">
        <v>723</v>
      </c>
      <c r="AE65" s="161" t="s">
        <v>317</v>
      </c>
      <c r="AF65" s="160" t="s">
        <v>335</v>
      </c>
      <c r="AG65" s="160" t="s">
        <v>344</v>
      </c>
      <c r="AH65" s="160" t="s">
        <v>320</v>
      </c>
      <c r="AI65" s="160" t="s">
        <v>336</v>
      </c>
      <c r="AJ65" s="160" t="s">
        <v>587</v>
      </c>
      <c r="AL65" s="161" t="s">
        <v>317</v>
      </c>
      <c r="AM65" s="160" t="s">
        <v>338</v>
      </c>
      <c r="AN65" s="160" t="s">
        <v>369</v>
      </c>
      <c r="AO65" s="160" t="s">
        <v>722</v>
      </c>
      <c r="AP65" s="160" t="s">
        <v>336</v>
      </c>
      <c r="AQ65" s="160" t="s">
        <v>339</v>
      </c>
      <c r="AR65" s="172"/>
      <c r="AT65" s="161" t="s">
        <v>317</v>
      </c>
      <c r="AU65" s="160" t="s">
        <v>340</v>
      </c>
      <c r="AV65" s="160" t="s">
        <v>423</v>
      </c>
      <c r="AW65" s="160" t="s">
        <v>332</v>
      </c>
      <c r="AX65" s="160" t="s">
        <v>333</v>
      </c>
      <c r="AY65" s="160" t="s">
        <v>724</v>
      </c>
      <c r="BA65" s="161" t="s">
        <v>317</v>
      </c>
      <c r="BB65" s="160" t="s">
        <v>343</v>
      </c>
      <c r="BC65" s="160" t="s">
        <v>425</v>
      </c>
      <c r="BD65" s="160" t="s">
        <v>332</v>
      </c>
      <c r="BE65" s="160" t="s">
        <v>336</v>
      </c>
      <c r="BF65" s="160" t="s">
        <v>725</v>
      </c>
      <c r="BH65" s="161" t="s">
        <v>317</v>
      </c>
      <c r="BI65" s="160" t="s">
        <v>347</v>
      </c>
      <c r="BJ65" s="160" t="s">
        <v>369</v>
      </c>
      <c r="BK65" s="160" t="s">
        <v>722</v>
      </c>
      <c r="BL65" s="160" t="s">
        <v>336</v>
      </c>
      <c r="BM65" s="160" t="s">
        <v>348</v>
      </c>
    </row>
    <row r="66" spans="1:65">
      <c r="B66" s="161" t="s">
        <v>349</v>
      </c>
      <c r="C66" s="160" t="s">
        <v>350</v>
      </c>
      <c r="D66" s="160" t="s">
        <v>327</v>
      </c>
      <c r="E66" s="160" t="s">
        <v>361</v>
      </c>
      <c r="F66" s="160" t="s">
        <v>353</v>
      </c>
      <c r="G66" s="160" t="s">
        <v>660</v>
      </c>
      <c r="I66" s="161" t="s">
        <v>349</v>
      </c>
      <c r="J66" s="160" t="s">
        <v>355</v>
      </c>
      <c r="K66" s="160" t="s">
        <v>351</v>
      </c>
      <c r="L66" s="160" t="s">
        <v>352</v>
      </c>
      <c r="M66" s="160" t="s">
        <v>353</v>
      </c>
      <c r="N66" s="160" t="s">
        <v>661</v>
      </c>
      <c r="P66" s="161" t="s">
        <v>349</v>
      </c>
      <c r="Q66" s="160" t="s">
        <v>355</v>
      </c>
      <c r="R66" s="160" t="s">
        <v>356</v>
      </c>
      <c r="S66" s="160" t="s">
        <v>358</v>
      </c>
      <c r="T66" s="160" t="s">
        <v>353</v>
      </c>
      <c r="U66" s="160" t="s">
        <v>359</v>
      </c>
      <c r="V66" s="172"/>
      <c r="X66" s="161" t="s">
        <v>349</v>
      </c>
      <c r="Y66" s="160" t="s">
        <v>360</v>
      </c>
      <c r="Z66" s="160" t="s">
        <v>662</v>
      </c>
      <c r="AA66" s="160" t="s">
        <v>460</v>
      </c>
      <c r="AB66" s="160" t="s">
        <v>362</v>
      </c>
      <c r="AC66" s="160" t="s">
        <v>726</v>
      </c>
      <c r="AE66" s="161" t="s">
        <v>349</v>
      </c>
      <c r="AF66" s="160" t="s">
        <v>364</v>
      </c>
      <c r="AG66" s="160" t="s">
        <v>351</v>
      </c>
      <c r="AH66" s="160" t="s">
        <v>352</v>
      </c>
      <c r="AI66" s="160" t="s">
        <v>365</v>
      </c>
      <c r="AJ66" s="160" t="s">
        <v>366</v>
      </c>
      <c r="AL66" s="161" t="s">
        <v>349</v>
      </c>
      <c r="AM66" s="160" t="s">
        <v>355</v>
      </c>
      <c r="AN66" s="160" t="s">
        <v>356</v>
      </c>
      <c r="AO66" s="160" t="s">
        <v>358</v>
      </c>
      <c r="AP66" s="160" t="s">
        <v>365</v>
      </c>
      <c r="AQ66" s="160" t="s">
        <v>665</v>
      </c>
      <c r="AR66" s="172"/>
      <c r="AT66" s="161" t="s">
        <v>349</v>
      </c>
      <c r="AU66" s="160" t="s">
        <v>368</v>
      </c>
      <c r="AV66" s="160" t="s">
        <v>662</v>
      </c>
      <c r="AW66" s="160" t="s">
        <v>460</v>
      </c>
      <c r="AX66" s="160" t="s">
        <v>362</v>
      </c>
      <c r="AY66" s="160" t="s">
        <v>727</v>
      </c>
      <c r="BA66" s="161" t="s">
        <v>349</v>
      </c>
      <c r="BB66" s="160" t="s">
        <v>371</v>
      </c>
      <c r="BC66" s="160" t="s">
        <v>327</v>
      </c>
      <c r="BD66" s="160" t="s">
        <v>361</v>
      </c>
      <c r="BE66" s="160" t="s">
        <v>365</v>
      </c>
      <c r="BF66" s="160" t="s">
        <v>427</v>
      </c>
      <c r="BH66" s="161" t="s">
        <v>349</v>
      </c>
      <c r="BI66" s="160" t="s">
        <v>355</v>
      </c>
      <c r="BJ66" s="160" t="s">
        <v>356</v>
      </c>
      <c r="BK66" s="160" t="s">
        <v>358</v>
      </c>
      <c r="BL66" s="160" t="s">
        <v>365</v>
      </c>
      <c r="BM66" s="160" t="s">
        <v>665</v>
      </c>
    </row>
    <row r="67" spans="1:65">
      <c r="V67" s="172"/>
      <c r="AR67" s="172"/>
    </row>
    <row r="68" spans="1:65" ht="12" customHeight="1">
      <c r="A68" s="165" t="s">
        <v>728</v>
      </c>
      <c r="B68" s="165"/>
      <c r="C68" s="166"/>
      <c r="D68" s="166"/>
      <c r="E68" s="166"/>
      <c r="F68" s="166"/>
      <c r="G68" s="166"/>
      <c r="H68" s="166"/>
      <c r="I68" s="167"/>
      <c r="J68" s="166"/>
      <c r="K68" s="166"/>
      <c r="L68" s="166"/>
      <c r="M68" s="166"/>
      <c r="N68" s="166"/>
      <c r="O68" s="166"/>
      <c r="P68" s="167"/>
      <c r="Q68" s="166"/>
      <c r="R68" s="166"/>
      <c r="S68" s="166"/>
      <c r="T68" s="166"/>
      <c r="U68" s="166"/>
      <c r="V68" s="168"/>
      <c r="W68" s="166"/>
      <c r="X68" s="167"/>
      <c r="Y68" s="166"/>
      <c r="Z68" s="166"/>
      <c r="AA68" s="166"/>
      <c r="AB68" s="166"/>
      <c r="AC68" s="166"/>
      <c r="AD68" s="166"/>
      <c r="AE68" s="167"/>
      <c r="AF68" s="166"/>
      <c r="AG68" s="166"/>
      <c r="AH68" s="166"/>
      <c r="AI68" s="166"/>
      <c r="AJ68" s="166"/>
      <c r="AK68" s="166"/>
      <c r="AL68" s="167"/>
      <c r="AM68" s="166"/>
      <c r="AN68" s="166"/>
      <c r="AO68" s="166"/>
      <c r="AP68" s="166"/>
      <c r="AQ68" s="166"/>
      <c r="AR68" s="168"/>
      <c r="AS68" s="166"/>
      <c r="AT68" s="167"/>
      <c r="AU68" s="166"/>
      <c r="AV68" s="166"/>
      <c r="AW68" s="166"/>
      <c r="AX68" s="166"/>
      <c r="AY68" s="166"/>
      <c r="AZ68" s="166"/>
      <c r="BA68" s="167"/>
      <c r="BB68" s="166"/>
      <c r="BC68" s="166"/>
      <c r="BD68" s="166"/>
      <c r="BE68" s="166"/>
      <c r="BF68" s="166"/>
      <c r="BG68" s="166"/>
      <c r="BH68" s="167"/>
      <c r="BI68" s="166"/>
      <c r="BJ68" s="166"/>
      <c r="BK68" s="166"/>
      <c r="BL68" s="166"/>
      <c r="BM68" s="166"/>
    </row>
    <row r="69" spans="1:65" s="170" customFormat="1">
      <c r="A69" s="169"/>
      <c r="B69" s="169" t="s">
        <v>729</v>
      </c>
      <c r="I69" s="169" t="s">
        <v>730</v>
      </c>
      <c r="P69" s="169" t="s">
        <v>731</v>
      </c>
      <c r="V69" s="171"/>
      <c r="X69" s="169" t="s">
        <v>732</v>
      </c>
      <c r="AE69" s="169" t="s">
        <v>733</v>
      </c>
      <c r="AL69" s="169" t="s">
        <v>734</v>
      </c>
      <c r="AR69" s="171"/>
      <c r="AT69" s="169" t="s">
        <v>735</v>
      </c>
      <c r="BA69" s="169" t="s">
        <v>736</v>
      </c>
      <c r="BH69" s="169" t="s">
        <v>737</v>
      </c>
    </row>
    <row r="70" spans="1:65">
      <c r="C70" s="160" t="s">
        <v>243</v>
      </c>
      <c r="D70" s="160" t="s">
        <v>23</v>
      </c>
      <c r="E70" s="160" t="s">
        <v>24</v>
      </c>
      <c r="F70" s="160" t="s">
        <v>244</v>
      </c>
      <c r="G70" s="160" t="s">
        <v>26</v>
      </c>
      <c r="J70" s="160" t="s">
        <v>243</v>
      </c>
      <c r="K70" s="160" t="s">
        <v>23</v>
      </c>
      <c r="L70" s="160" t="s">
        <v>24</v>
      </c>
      <c r="M70" s="160" t="s">
        <v>244</v>
      </c>
      <c r="N70" s="160" t="s">
        <v>26</v>
      </c>
      <c r="Q70" s="160" t="s">
        <v>243</v>
      </c>
      <c r="R70" s="160" t="s">
        <v>23</v>
      </c>
      <c r="S70" s="160" t="s">
        <v>24</v>
      </c>
      <c r="T70" s="160" t="s">
        <v>244</v>
      </c>
      <c r="U70" s="160" t="s">
        <v>26</v>
      </c>
      <c r="V70" s="172"/>
      <c r="Y70" s="160" t="s">
        <v>243</v>
      </c>
      <c r="Z70" s="160" t="s">
        <v>23</v>
      </c>
      <c r="AA70" s="160" t="s">
        <v>24</v>
      </c>
      <c r="AB70" s="160" t="s">
        <v>244</v>
      </c>
      <c r="AC70" s="160" t="s">
        <v>26</v>
      </c>
      <c r="AF70" s="160" t="s">
        <v>243</v>
      </c>
      <c r="AG70" s="160" t="s">
        <v>23</v>
      </c>
      <c r="AH70" s="160" t="s">
        <v>24</v>
      </c>
      <c r="AI70" s="160" t="s">
        <v>244</v>
      </c>
      <c r="AJ70" s="160" t="s">
        <v>26</v>
      </c>
      <c r="AM70" s="160" t="s">
        <v>243</v>
      </c>
      <c r="AN70" s="160" t="s">
        <v>23</v>
      </c>
      <c r="AO70" s="160" t="s">
        <v>24</v>
      </c>
      <c r="AP70" s="160" t="s">
        <v>244</v>
      </c>
      <c r="AQ70" s="160" t="s">
        <v>26</v>
      </c>
      <c r="AR70" s="172"/>
      <c r="AU70" s="160" t="s">
        <v>243</v>
      </c>
      <c r="AV70" s="160" t="s">
        <v>23</v>
      </c>
      <c r="AW70" s="160" t="s">
        <v>24</v>
      </c>
      <c r="AX70" s="160" t="s">
        <v>244</v>
      </c>
      <c r="AY70" s="160" t="s">
        <v>26</v>
      </c>
      <c r="BB70" s="160" t="s">
        <v>243</v>
      </c>
      <c r="BC70" s="160" t="s">
        <v>23</v>
      </c>
      <c r="BD70" s="160" t="s">
        <v>24</v>
      </c>
      <c r="BE70" s="160" t="s">
        <v>244</v>
      </c>
      <c r="BF70" s="160" t="s">
        <v>26</v>
      </c>
      <c r="BI70" s="160" t="s">
        <v>243</v>
      </c>
      <c r="BJ70" s="160" t="s">
        <v>23</v>
      </c>
      <c r="BK70" s="160" t="s">
        <v>24</v>
      </c>
      <c r="BL70" s="160" t="s">
        <v>244</v>
      </c>
      <c r="BM70" s="160" t="s">
        <v>26</v>
      </c>
    </row>
    <row r="71" spans="1:65">
      <c r="B71" s="161" t="s">
        <v>26</v>
      </c>
      <c r="C71" s="160" t="s">
        <v>600</v>
      </c>
      <c r="D71" s="160" t="s">
        <v>738</v>
      </c>
      <c r="E71" s="160" t="s">
        <v>739</v>
      </c>
      <c r="F71" s="160" t="s">
        <v>248</v>
      </c>
      <c r="G71" s="160" t="s">
        <v>740</v>
      </c>
      <c r="I71" s="161" t="s">
        <v>26</v>
      </c>
      <c r="J71" s="160" t="s">
        <v>250</v>
      </c>
      <c r="K71" s="160" t="s">
        <v>741</v>
      </c>
      <c r="L71" s="160" t="s">
        <v>742</v>
      </c>
      <c r="M71" s="160" t="s">
        <v>253</v>
      </c>
      <c r="N71" s="160" t="s">
        <v>743</v>
      </c>
      <c r="P71" s="161" t="s">
        <v>26</v>
      </c>
      <c r="Q71" s="160" t="s">
        <v>255</v>
      </c>
      <c r="R71" s="160" t="s">
        <v>256</v>
      </c>
      <c r="S71" s="160" t="s">
        <v>744</v>
      </c>
      <c r="T71" s="160" t="s">
        <v>253</v>
      </c>
      <c r="U71" s="160" t="s">
        <v>745</v>
      </c>
      <c r="V71" s="172"/>
      <c r="X71" s="161" t="s">
        <v>26</v>
      </c>
      <c r="Y71" s="160" t="s">
        <v>259</v>
      </c>
      <c r="Z71" s="160" t="s">
        <v>746</v>
      </c>
      <c r="AA71" s="160" t="s">
        <v>747</v>
      </c>
      <c r="AB71" s="160" t="s">
        <v>262</v>
      </c>
      <c r="AC71" s="160" t="s">
        <v>748</v>
      </c>
      <c r="AE71" s="161" t="s">
        <v>26</v>
      </c>
      <c r="AF71" s="160" t="s">
        <v>749</v>
      </c>
      <c r="AG71" s="160" t="s">
        <v>566</v>
      </c>
      <c r="AH71" s="160" t="s">
        <v>750</v>
      </c>
      <c r="AI71" s="160" t="s">
        <v>267</v>
      </c>
      <c r="AJ71" s="160" t="s">
        <v>751</v>
      </c>
      <c r="AL71" s="161" t="s">
        <v>26</v>
      </c>
      <c r="AM71" s="160" t="s">
        <v>615</v>
      </c>
      <c r="AN71" s="160" t="s">
        <v>256</v>
      </c>
      <c r="AO71" s="160" t="s">
        <v>744</v>
      </c>
      <c r="AP71" s="160" t="s">
        <v>267</v>
      </c>
      <c r="AQ71" s="160" t="s">
        <v>752</v>
      </c>
      <c r="AR71" s="172"/>
      <c r="AT71" s="161" t="s">
        <v>26</v>
      </c>
      <c r="AU71" s="160" t="s">
        <v>271</v>
      </c>
      <c r="AV71" s="160" t="s">
        <v>753</v>
      </c>
      <c r="AW71" s="160" t="s">
        <v>754</v>
      </c>
      <c r="AX71" s="160" t="s">
        <v>262</v>
      </c>
      <c r="AY71" s="160" t="s">
        <v>755</v>
      </c>
      <c r="BA71" s="161" t="s">
        <v>26</v>
      </c>
      <c r="BB71" s="160" t="s">
        <v>621</v>
      </c>
      <c r="BC71" s="160" t="s">
        <v>756</v>
      </c>
      <c r="BD71" s="160" t="s">
        <v>757</v>
      </c>
      <c r="BE71" s="160" t="s">
        <v>267</v>
      </c>
      <c r="BF71" s="160" t="s">
        <v>758</v>
      </c>
      <c r="BH71" s="161" t="s">
        <v>26</v>
      </c>
      <c r="BI71" s="160" t="s">
        <v>279</v>
      </c>
      <c r="BJ71" s="160" t="s">
        <v>256</v>
      </c>
      <c r="BK71" s="160" t="s">
        <v>744</v>
      </c>
      <c r="BL71" s="160" t="s">
        <v>267</v>
      </c>
      <c r="BM71" s="160" t="s">
        <v>759</v>
      </c>
    </row>
    <row r="72" spans="1:65">
      <c r="B72" s="161" t="s">
        <v>281</v>
      </c>
      <c r="C72" s="160" t="s">
        <v>282</v>
      </c>
      <c r="D72" s="160" t="s">
        <v>760</v>
      </c>
      <c r="E72" s="160" t="s">
        <v>761</v>
      </c>
      <c r="F72" s="160" t="s">
        <v>285</v>
      </c>
      <c r="G72" s="160" t="s">
        <v>762</v>
      </c>
      <c r="I72" s="161" t="s">
        <v>281</v>
      </c>
      <c r="J72" s="160" t="s">
        <v>524</v>
      </c>
      <c r="K72" s="160" t="s">
        <v>477</v>
      </c>
      <c r="L72" s="160" t="s">
        <v>763</v>
      </c>
      <c r="M72" s="160" t="s">
        <v>289</v>
      </c>
      <c r="N72" s="160" t="s">
        <v>764</v>
      </c>
      <c r="P72" s="161" t="s">
        <v>281</v>
      </c>
      <c r="Q72" s="160" t="s">
        <v>291</v>
      </c>
      <c r="R72" s="160" t="s">
        <v>292</v>
      </c>
      <c r="S72" s="160" t="s">
        <v>765</v>
      </c>
      <c r="T72" s="160" t="s">
        <v>289</v>
      </c>
      <c r="U72" s="160" t="s">
        <v>766</v>
      </c>
      <c r="V72" s="172"/>
      <c r="X72" s="161" t="s">
        <v>281</v>
      </c>
      <c r="Y72" s="160" t="s">
        <v>767</v>
      </c>
      <c r="Z72" s="160" t="s">
        <v>768</v>
      </c>
      <c r="AA72" s="160" t="s">
        <v>769</v>
      </c>
      <c r="AB72" s="160" t="s">
        <v>298</v>
      </c>
      <c r="AC72" s="160" t="s">
        <v>770</v>
      </c>
      <c r="AE72" s="161" t="s">
        <v>281</v>
      </c>
      <c r="AF72" s="160" t="s">
        <v>639</v>
      </c>
      <c r="AG72" s="160" t="s">
        <v>580</v>
      </c>
      <c r="AH72" s="160" t="s">
        <v>771</v>
      </c>
      <c r="AI72" s="160" t="s">
        <v>303</v>
      </c>
      <c r="AJ72" s="160" t="s">
        <v>772</v>
      </c>
      <c r="AL72" s="161" t="s">
        <v>281</v>
      </c>
      <c r="AM72" s="160" t="s">
        <v>305</v>
      </c>
      <c r="AN72" s="160" t="s">
        <v>292</v>
      </c>
      <c r="AO72" s="160" t="s">
        <v>765</v>
      </c>
      <c r="AP72" s="160" t="s">
        <v>303</v>
      </c>
      <c r="AQ72" s="160" t="s">
        <v>773</v>
      </c>
      <c r="AR72" s="172"/>
      <c r="AT72" s="161" t="s">
        <v>281</v>
      </c>
      <c r="AU72" s="160" t="s">
        <v>644</v>
      </c>
      <c r="AV72" s="160" t="s">
        <v>774</v>
      </c>
      <c r="AW72" s="160" t="s">
        <v>775</v>
      </c>
      <c r="AX72" s="160" t="s">
        <v>298</v>
      </c>
      <c r="AY72" s="160" t="s">
        <v>776</v>
      </c>
      <c r="BA72" s="161" t="s">
        <v>281</v>
      </c>
      <c r="BB72" s="160" t="s">
        <v>648</v>
      </c>
      <c r="BC72" s="160" t="s">
        <v>777</v>
      </c>
      <c r="BD72" s="160" t="s">
        <v>778</v>
      </c>
      <c r="BE72" s="160" t="s">
        <v>303</v>
      </c>
      <c r="BF72" s="160" t="s">
        <v>779</v>
      </c>
      <c r="BH72" s="161" t="s">
        <v>281</v>
      </c>
      <c r="BI72" s="160" t="s">
        <v>652</v>
      </c>
      <c r="BJ72" s="160" t="s">
        <v>292</v>
      </c>
      <c r="BK72" s="160" t="s">
        <v>765</v>
      </c>
      <c r="BL72" s="160" t="s">
        <v>303</v>
      </c>
      <c r="BM72" s="160" t="s">
        <v>780</v>
      </c>
    </row>
    <row r="73" spans="1:65">
      <c r="B73" s="161" t="s">
        <v>317</v>
      </c>
      <c r="C73" s="160" t="s">
        <v>318</v>
      </c>
      <c r="D73" s="160" t="s">
        <v>319</v>
      </c>
      <c r="E73" s="160" t="s">
        <v>781</v>
      </c>
      <c r="F73" s="160" t="s">
        <v>321</v>
      </c>
      <c r="G73" s="160" t="s">
        <v>322</v>
      </c>
      <c r="I73" s="161" t="s">
        <v>317</v>
      </c>
      <c r="J73" s="160" t="s">
        <v>318</v>
      </c>
      <c r="K73" s="160" t="s">
        <v>319</v>
      </c>
      <c r="L73" s="160" t="s">
        <v>781</v>
      </c>
      <c r="M73" s="160" t="s">
        <v>324</v>
      </c>
      <c r="N73" s="160" t="s">
        <v>546</v>
      </c>
      <c r="P73" s="161" t="s">
        <v>317</v>
      </c>
      <c r="Q73" s="160" t="s">
        <v>326</v>
      </c>
      <c r="R73" s="160" t="s">
        <v>327</v>
      </c>
      <c r="S73" s="160" t="s">
        <v>782</v>
      </c>
      <c r="T73" s="160" t="s">
        <v>324</v>
      </c>
      <c r="U73" s="160" t="s">
        <v>783</v>
      </c>
      <c r="V73" s="172"/>
      <c r="X73" s="161" t="s">
        <v>317</v>
      </c>
      <c r="Y73" s="160" t="s">
        <v>330</v>
      </c>
      <c r="Z73" s="160" t="s">
        <v>331</v>
      </c>
      <c r="AA73" s="160" t="s">
        <v>320</v>
      </c>
      <c r="AB73" s="160" t="s">
        <v>333</v>
      </c>
      <c r="AC73" s="160" t="s">
        <v>334</v>
      </c>
      <c r="AE73" s="161" t="s">
        <v>317</v>
      </c>
      <c r="AF73" s="160" t="s">
        <v>335</v>
      </c>
      <c r="AG73" s="160" t="s">
        <v>331</v>
      </c>
      <c r="AH73" s="160" t="s">
        <v>544</v>
      </c>
      <c r="AI73" s="160" t="s">
        <v>336</v>
      </c>
      <c r="AJ73" s="160" t="s">
        <v>784</v>
      </c>
      <c r="AL73" s="161" t="s">
        <v>317</v>
      </c>
      <c r="AM73" s="160" t="s">
        <v>338</v>
      </c>
      <c r="AN73" s="160" t="s">
        <v>327</v>
      </c>
      <c r="AO73" s="160" t="s">
        <v>782</v>
      </c>
      <c r="AP73" s="160" t="s">
        <v>336</v>
      </c>
      <c r="AQ73" s="160" t="s">
        <v>785</v>
      </c>
      <c r="AR73" s="172"/>
      <c r="AT73" s="161" t="s">
        <v>317</v>
      </c>
      <c r="AU73" s="160" t="s">
        <v>340</v>
      </c>
      <c r="AV73" s="160" t="s">
        <v>344</v>
      </c>
      <c r="AW73" s="160" t="s">
        <v>786</v>
      </c>
      <c r="AX73" s="160" t="s">
        <v>333</v>
      </c>
      <c r="AY73" s="160" t="s">
        <v>787</v>
      </c>
      <c r="BA73" s="161" t="s">
        <v>317</v>
      </c>
      <c r="BB73" s="160" t="s">
        <v>343</v>
      </c>
      <c r="BC73" s="160" t="s">
        <v>344</v>
      </c>
      <c r="BD73" s="160" t="s">
        <v>786</v>
      </c>
      <c r="BE73" s="160" t="s">
        <v>336</v>
      </c>
      <c r="BF73" s="160" t="s">
        <v>788</v>
      </c>
      <c r="BH73" s="161" t="s">
        <v>317</v>
      </c>
      <c r="BI73" s="160" t="s">
        <v>347</v>
      </c>
      <c r="BJ73" s="160" t="s">
        <v>327</v>
      </c>
      <c r="BK73" s="160" t="s">
        <v>782</v>
      </c>
      <c r="BL73" s="160" t="s">
        <v>336</v>
      </c>
      <c r="BM73" s="160" t="s">
        <v>339</v>
      </c>
    </row>
    <row r="74" spans="1:65">
      <c r="B74" s="161" t="s">
        <v>349</v>
      </c>
      <c r="C74" s="160" t="s">
        <v>350</v>
      </c>
      <c r="D74" s="160" t="s">
        <v>327</v>
      </c>
      <c r="E74" s="160" t="s">
        <v>352</v>
      </c>
      <c r="F74" s="160" t="s">
        <v>353</v>
      </c>
      <c r="G74" s="160" t="s">
        <v>354</v>
      </c>
      <c r="I74" s="161" t="s">
        <v>349</v>
      </c>
      <c r="J74" s="160" t="s">
        <v>355</v>
      </c>
      <c r="K74" s="160" t="s">
        <v>356</v>
      </c>
      <c r="L74" s="160" t="s">
        <v>352</v>
      </c>
      <c r="M74" s="160" t="s">
        <v>353</v>
      </c>
      <c r="N74" s="160" t="s">
        <v>661</v>
      </c>
      <c r="P74" s="161" t="s">
        <v>349</v>
      </c>
      <c r="Q74" s="160" t="s">
        <v>355</v>
      </c>
      <c r="R74" s="160" t="s">
        <v>356</v>
      </c>
      <c r="S74" s="160" t="s">
        <v>358</v>
      </c>
      <c r="T74" s="160" t="s">
        <v>353</v>
      </c>
      <c r="U74" s="160" t="s">
        <v>359</v>
      </c>
      <c r="V74" s="172"/>
      <c r="X74" s="161" t="s">
        <v>349</v>
      </c>
      <c r="Y74" s="160" t="s">
        <v>360</v>
      </c>
      <c r="Z74" s="160" t="s">
        <v>327</v>
      </c>
      <c r="AA74" s="160" t="s">
        <v>460</v>
      </c>
      <c r="AB74" s="160" t="s">
        <v>362</v>
      </c>
      <c r="AC74" s="160" t="s">
        <v>789</v>
      </c>
      <c r="AE74" s="161" t="s">
        <v>349</v>
      </c>
      <c r="AF74" s="160" t="s">
        <v>364</v>
      </c>
      <c r="AG74" s="160" t="s">
        <v>351</v>
      </c>
      <c r="AH74" s="160" t="s">
        <v>352</v>
      </c>
      <c r="AI74" s="160" t="s">
        <v>365</v>
      </c>
      <c r="AJ74" s="160" t="s">
        <v>366</v>
      </c>
      <c r="AL74" s="161" t="s">
        <v>349</v>
      </c>
      <c r="AM74" s="160" t="s">
        <v>355</v>
      </c>
      <c r="AN74" s="160" t="s">
        <v>356</v>
      </c>
      <c r="AO74" s="160" t="s">
        <v>358</v>
      </c>
      <c r="AP74" s="160" t="s">
        <v>365</v>
      </c>
      <c r="AQ74" s="160" t="s">
        <v>665</v>
      </c>
      <c r="AR74" s="172"/>
      <c r="AT74" s="161" t="s">
        <v>349</v>
      </c>
      <c r="AU74" s="160" t="s">
        <v>368</v>
      </c>
      <c r="AV74" s="160" t="s">
        <v>662</v>
      </c>
      <c r="AW74" s="160" t="s">
        <v>460</v>
      </c>
      <c r="AX74" s="160" t="s">
        <v>362</v>
      </c>
      <c r="AY74" s="160" t="s">
        <v>727</v>
      </c>
      <c r="BA74" s="161" t="s">
        <v>349</v>
      </c>
      <c r="BB74" s="160" t="s">
        <v>371</v>
      </c>
      <c r="BC74" s="160" t="s">
        <v>351</v>
      </c>
      <c r="BD74" s="160" t="s">
        <v>361</v>
      </c>
      <c r="BE74" s="160" t="s">
        <v>365</v>
      </c>
      <c r="BF74" s="160" t="s">
        <v>372</v>
      </c>
      <c r="BH74" s="161" t="s">
        <v>349</v>
      </c>
      <c r="BI74" s="160" t="s">
        <v>355</v>
      </c>
      <c r="BJ74" s="160" t="s">
        <v>356</v>
      </c>
      <c r="BK74" s="160" t="s">
        <v>358</v>
      </c>
      <c r="BL74" s="160" t="s">
        <v>365</v>
      </c>
      <c r="BM74" s="160" t="s">
        <v>665</v>
      </c>
    </row>
    <row r="75" spans="1:65">
      <c r="V75" s="172"/>
      <c r="AR75" s="172"/>
    </row>
    <row r="76" spans="1:65" ht="12" customHeight="1">
      <c r="A76" s="165" t="s">
        <v>790</v>
      </c>
      <c r="B76" s="165"/>
      <c r="C76" s="166"/>
      <c r="D76" s="166"/>
      <c r="E76" s="166"/>
      <c r="F76" s="166"/>
      <c r="G76" s="166"/>
      <c r="H76" s="166"/>
      <c r="I76" s="167"/>
      <c r="J76" s="166"/>
      <c r="K76" s="166"/>
      <c r="L76" s="166"/>
      <c r="M76" s="166"/>
      <c r="N76" s="166"/>
      <c r="O76" s="166"/>
      <c r="P76" s="167"/>
      <c r="Q76" s="166"/>
      <c r="R76" s="166"/>
      <c r="S76" s="166"/>
      <c r="T76" s="166"/>
      <c r="U76" s="166"/>
      <c r="V76" s="168"/>
      <c r="W76" s="166"/>
      <c r="X76" s="167"/>
      <c r="Y76" s="166"/>
      <c r="Z76" s="166"/>
      <c r="AA76" s="166"/>
      <c r="AB76" s="166"/>
      <c r="AC76" s="166"/>
      <c r="AD76" s="166"/>
      <c r="AE76" s="167"/>
      <c r="AF76" s="166"/>
      <c r="AG76" s="166"/>
      <c r="AH76" s="166"/>
      <c r="AI76" s="166"/>
      <c r="AJ76" s="166"/>
      <c r="AK76" s="166"/>
      <c r="AL76" s="167"/>
      <c r="AM76" s="166"/>
      <c r="AN76" s="166"/>
      <c r="AO76" s="166"/>
      <c r="AP76" s="166"/>
      <c r="AQ76" s="166"/>
      <c r="AR76" s="168"/>
      <c r="AS76" s="166"/>
      <c r="AT76" s="167"/>
      <c r="AU76" s="166"/>
      <c r="AV76" s="166"/>
      <c r="AW76" s="166"/>
      <c r="AX76" s="166"/>
      <c r="AY76" s="166"/>
      <c r="AZ76" s="166"/>
      <c r="BA76" s="167"/>
      <c r="BB76" s="166"/>
      <c r="BC76" s="166"/>
      <c r="BD76" s="166"/>
      <c r="BE76" s="166"/>
      <c r="BF76" s="166"/>
      <c r="BG76" s="166"/>
      <c r="BH76" s="167"/>
      <c r="BI76" s="166"/>
      <c r="BJ76" s="166"/>
      <c r="BK76" s="166"/>
      <c r="BL76" s="166"/>
      <c r="BM76" s="166"/>
    </row>
    <row r="77" spans="1:65" s="170" customFormat="1">
      <c r="A77" s="169"/>
      <c r="B77" s="169" t="s">
        <v>791</v>
      </c>
      <c r="I77" s="169" t="s">
        <v>792</v>
      </c>
      <c r="P77" s="169" t="s">
        <v>793</v>
      </c>
      <c r="V77" s="171"/>
      <c r="X77" s="169" t="s">
        <v>794</v>
      </c>
      <c r="AE77" s="169" t="s">
        <v>795</v>
      </c>
      <c r="AL77" s="169" t="s">
        <v>796</v>
      </c>
      <c r="AR77" s="171"/>
      <c r="AT77" s="169" t="s">
        <v>797</v>
      </c>
      <c r="BA77" s="169" t="s">
        <v>798</v>
      </c>
      <c r="BH77" s="169" t="s">
        <v>799</v>
      </c>
    </row>
    <row r="78" spans="1:65">
      <c r="C78" s="160" t="s">
        <v>243</v>
      </c>
      <c r="D78" s="160" t="s">
        <v>23</v>
      </c>
      <c r="E78" s="160" t="s">
        <v>24</v>
      </c>
      <c r="F78" s="160" t="s">
        <v>244</v>
      </c>
      <c r="G78" s="160" t="s">
        <v>26</v>
      </c>
      <c r="J78" s="160" t="s">
        <v>243</v>
      </c>
      <c r="K78" s="160" t="s">
        <v>23</v>
      </c>
      <c r="L78" s="160" t="s">
        <v>24</v>
      </c>
      <c r="M78" s="160" t="s">
        <v>244</v>
      </c>
      <c r="N78" s="160" t="s">
        <v>26</v>
      </c>
      <c r="Q78" s="160" t="s">
        <v>243</v>
      </c>
      <c r="R78" s="160" t="s">
        <v>23</v>
      </c>
      <c r="S78" s="160" t="s">
        <v>24</v>
      </c>
      <c r="T78" s="160" t="s">
        <v>244</v>
      </c>
      <c r="U78" s="160" t="s">
        <v>26</v>
      </c>
      <c r="V78" s="172"/>
      <c r="Y78" s="160" t="s">
        <v>243</v>
      </c>
      <c r="Z78" s="160" t="s">
        <v>23</v>
      </c>
      <c r="AA78" s="160" t="s">
        <v>24</v>
      </c>
      <c r="AB78" s="160" t="s">
        <v>244</v>
      </c>
      <c r="AC78" s="160" t="s">
        <v>26</v>
      </c>
      <c r="AF78" s="160" t="s">
        <v>243</v>
      </c>
      <c r="AG78" s="160" t="s">
        <v>23</v>
      </c>
      <c r="AH78" s="160" t="s">
        <v>24</v>
      </c>
      <c r="AI78" s="160" t="s">
        <v>244</v>
      </c>
      <c r="AJ78" s="160" t="s">
        <v>26</v>
      </c>
      <c r="AM78" s="160" t="s">
        <v>243</v>
      </c>
      <c r="AN78" s="160" t="s">
        <v>23</v>
      </c>
      <c r="AO78" s="160" t="s">
        <v>24</v>
      </c>
      <c r="AP78" s="160" t="s">
        <v>244</v>
      </c>
      <c r="AQ78" s="160" t="s">
        <v>26</v>
      </c>
      <c r="AR78" s="172"/>
      <c r="AU78" s="160" t="s">
        <v>243</v>
      </c>
      <c r="AV78" s="160" t="s">
        <v>23</v>
      </c>
      <c r="AW78" s="160" t="s">
        <v>24</v>
      </c>
      <c r="AX78" s="160" t="s">
        <v>244</v>
      </c>
      <c r="AY78" s="160" t="s">
        <v>26</v>
      </c>
      <c r="BB78" s="160" t="s">
        <v>243</v>
      </c>
      <c r="BC78" s="160" t="s">
        <v>23</v>
      </c>
      <c r="BD78" s="160" t="s">
        <v>24</v>
      </c>
      <c r="BE78" s="160" t="s">
        <v>244</v>
      </c>
      <c r="BF78" s="160" t="s">
        <v>26</v>
      </c>
      <c r="BI78" s="160" t="s">
        <v>243</v>
      </c>
      <c r="BJ78" s="160" t="s">
        <v>23</v>
      </c>
      <c r="BK78" s="160" t="s">
        <v>24</v>
      </c>
      <c r="BL78" s="160" t="s">
        <v>244</v>
      </c>
      <c r="BM78" s="160" t="s">
        <v>26</v>
      </c>
    </row>
    <row r="79" spans="1:65">
      <c r="B79" s="161" t="s">
        <v>26</v>
      </c>
      <c r="C79" s="160" t="s">
        <v>600</v>
      </c>
      <c r="D79" s="160" t="s">
        <v>800</v>
      </c>
      <c r="E79" s="160" t="s">
        <v>801</v>
      </c>
      <c r="F79" s="160" t="s">
        <v>248</v>
      </c>
      <c r="G79" s="160" t="s">
        <v>802</v>
      </c>
      <c r="I79" s="161" t="s">
        <v>26</v>
      </c>
      <c r="J79" s="160" t="s">
        <v>498</v>
      </c>
      <c r="K79" s="160" t="s">
        <v>803</v>
      </c>
      <c r="L79" s="160" t="s">
        <v>742</v>
      </c>
      <c r="M79" s="160" t="s">
        <v>253</v>
      </c>
      <c r="N79" s="160" t="s">
        <v>804</v>
      </c>
      <c r="P79" s="161" t="s">
        <v>26</v>
      </c>
      <c r="Q79" s="160" t="s">
        <v>255</v>
      </c>
      <c r="R79" s="160" t="s">
        <v>805</v>
      </c>
      <c r="S79" s="160" t="s">
        <v>806</v>
      </c>
      <c r="T79" s="160" t="s">
        <v>253</v>
      </c>
      <c r="U79" s="160" t="s">
        <v>807</v>
      </c>
      <c r="V79" s="172"/>
      <c r="X79" s="161" t="s">
        <v>26</v>
      </c>
      <c r="Y79" s="160" t="s">
        <v>504</v>
      </c>
      <c r="Z79" s="160" t="s">
        <v>808</v>
      </c>
      <c r="AA79" s="160" t="s">
        <v>809</v>
      </c>
      <c r="AB79" s="160" t="s">
        <v>262</v>
      </c>
      <c r="AC79" s="160" t="s">
        <v>810</v>
      </c>
      <c r="AE79" s="161" t="s">
        <v>26</v>
      </c>
      <c r="AF79" s="160" t="s">
        <v>508</v>
      </c>
      <c r="AG79" s="160" t="s">
        <v>811</v>
      </c>
      <c r="AH79" s="160" t="s">
        <v>750</v>
      </c>
      <c r="AI79" s="160" t="s">
        <v>267</v>
      </c>
      <c r="AJ79" s="160" t="s">
        <v>812</v>
      </c>
      <c r="AL79" s="161" t="s">
        <v>26</v>
      </c>
      <c r="AM79" s="160" t="s">
        <v>615</v>
      </c>
      <c r="AN79" s="160" t="s">
        <v>805</v>
      </c>
      <c r="AO79" s="160" t="s">
        <v>806</v>
      </c>
      <c r="AP79" s="160" t="s">
        <v>267</v>
      </c>
      <c r="AQ79" s="160" t="s">
        <v>813</v>
      </c>
      <c r="AR79" s="172"/>
      <c r="AT79" s="161" t="s">
        <v>26</v>
      </c>
      <c r="AU79" s="160" t="s">
        <v>617</v>
      </c>
      <c r="AV79" s="160" t="s">
        <v>814</v>
      </c>
      <c r="AW79" s="160" t="s">
        <v>815</v>
      </c>
      <c r="AX79" s="160" t="s">
        <v>262</v>
      </c>
      <c r="AY79" s="160" t="s">
        <v>816</v>
      </c>
      <c r="BA79" s="161" t="s">
        <v>26</v>
      </c>
      <c r="BB79" s="160" t="s">
        <v>621</v>
      </c>
      <c r="BC79" s="160" t="s">
        <v>817</v>
      </c>
      <c r="BD79" s="160" t="s">
        <v>757</v>
      </c>
      <c r="BE79" s="160" t="s">
        <v>267</v>
      </c>
      <c r="BF79" s="160" t="s">
        <v>818</v>
      </c>
      <c r="BH79" s="161" t="s">
        <v>26</v>
      </c>
      <c r="BI79" s="160" t="s">
        <v>279</v>
      </c>
      <c r="BJ79" s="160" t="s">
        <v>805</v>
      </c>
      <c r="BK79" s="160" t="s">
        <v>806</v>
      </c>
      <c r="BL79" s="160" t="s">
        <v>267</v>
      </c>
      <c r="BM79" s="160" t="s">
        <v>819</v>
      </c>
    </row>
    <row r="80" spans="1:65">
      <c r="B80" s="161" t="s">
        <v>281</v>
      </c>
      <c r="C80" s="160" t="s">
        <v>282</v>
      </c>
      <c r="D80" s="160" t="s">
        <v>820</v>
      </c>
      <c r="E80" s="160" t="s">
        <v>761</v>
      </c>
      <c r="F80" s="160" t="s">
        <v>285</v>
      </c>
      <c r="G80" s="160" t="s">
        <v>821</v>
      </c>
      <c r="I80" s="161" t="s">
        <v>281</v>
      </c>
      <c r="J80" s="160" t="s">
        <v>524</v>
      </c>
      <c r="K80" s="160" t="s">
        <v>741</v>
      </c>
      <c r="L80" s="160" t="s">
        <v>763</v>
      </c>
      <c r="M80" s="160" t="s">
        <v>289</v>
      </c>
      <c r="N80" s="160" t="s">
        <v>822</v>
      </c>
      <c r="P80" s="161" t="s">
        <v>281</v>
      </c>
      <c r="Q80" s="160" t="s">
        <v>291</v>
      </c>
      <c r="R80" s="160" t="s">
        <v>823</v>
      </c>
      <c r="S80" s="160" t="s">
        <v>824</v>
      </c>
      <c r="T80" s="160" t="s">
        <v>289</v>
      </c>
      <c r="U80" s="160" t="s">
        <v>825</v>
      </c>
      <c r="V80" s="172"/>
      <c r="X80" s="161" t="s">
        <v>281</v>
      </c>
      <c r="Y80" s="160" t="s">
        <v>635</v>
      </c>
      <c r="Z80" s="160" t="s">
        <v>826</v>
      </c>
      <c r="AA80" s="160" t="s">
        <v>769</v>
      </c>
      <c r="AB80" s="160" t="s">
        <v>298</v>
      </c>
      <c r="AC80" s="160" t="s">
        <v>827</v>
      </c>
      <c r="AE80" s="161" t="s">
        <v>281</v>
      </c>
      <c r="AF80" s="160" t="s">
        <v>639</v>
      </c>
      <c r="AG80" s="160" t="s">
        <v>828</v>
      </c>
      <c r="AH80" s="160" t="s">
        <v>771</v>
      </c>
      <c r="AI80" s="160" t="s">
        <v>303</v>
      </c>
      <c r="AJ80" s="160" t="s">
        <v>829</v>
      </c>
      <c r="AL80" s="161" t="s">
        <v>281</v>
      </c>
      <c r="AM80" s="160" t="s">
        <v>305</v>
      </c>
      <c r="AN80" s="160" t="s">
        <v>823</v>
      </c>
      <c r="AO80" s="160" t="s">
        <v>824</v>
      </c>
      <c r="AP80" s="160" t="s">
        <v>303</v>
      </c>
      <c r="AQ80" s="160" t="s">
        <v>830</v>
      </c>
      <c r="AR80" s="172"/>
      <c r="AT80" s="161" t="s">
        <v>281</v>
      </c>
      <c r="AU80" s="160" t="s">
        <v>644</v>
      </c>
      <c r="AV80" s="160" t="s">
        <v>831</v>
      </c>
      <c r="AW80" s="160" t="s">
        <v>775</v>
      </c>
      <c r="AX80" s="160" t="s">
        <v>298</v>
      </c>
      <c r="AY80" s="160" t="s">
        <v>832</v>
      </c>
      <c r="BA80" s="161" t="s">
        <v>281</v>
      </c>
      <c r="BB80" s="160" t="s">
        <v>648</v>
      </c>
      <c r="BC80" s="160" t="s">
        <v>833</v>
      </c>
      <c r="BD80" s="160" t="s">
        <v>834</v>
      </c>
      <c r="BE80" s="160" t="s">
        <v>303</v>
      </c>
      <c r="BF80" s="160" t="s">
        <v>835</v>
      </c>
      <c r="BH80" s="161" t="s">
        <v>281</v>
      </c>
      <c r="BI80" s="160" t="s">
        <v>652</v>
      </c>
      <c r="BJ80" s="160" t="s">
        <v>823</v>
      </c>
      <c r="BK80" s="160" t="s">
        <v>824</v>
      </c>
      <c r="BL80" s="160" t="s">
        <v>303</v>
      </c>
      <c r="BM80" s="160" t="s">
        <v>836</v>
      </c>
    </row>
    <row r="81" spans="1:65">
      <c r="B81" s="161" t="s">
        <v>317</v>
      </c>
      <c r="C81" s="160" t="s">
        <v>318</v>
      </c>
      <c r="D81" s="160" t="s">
        <v>323</v>
      </c>
      <c r="E81" s="160" t="s">
        <v>781</v>
      </c>
      <c r="F81" s="160" t="s">
        <v>321</v>
      </c>
      <c r="G81" s="160" t="s">
        <v>322</v>
      </c>
      <c r="I81" s="161" t="s">
        <v>317</v>
      </c>
      <c r="J81" s="160" t="s">
        <v>318</v>
      </c>
      <c r="K81" s="160" t="s">
        <v>323</v>
      </c>
      <c r="L81" s="160" t="s">
        <v>781</v>
      </c>
      <c r="M81" s="160" t="s">
        <v>324</v>
      </c>
      <c r="N81" s="160" t="s">
        <v>546</v>
      </c>
      <c r="P81" s="161" t="s">
        <v>317</v>
      </c>
      <c r="Q81" s="160" t="s">
        <v>326</v>
      </c>
      <c r="R81" s="160" t="s">
        <v>369</v>
      </c>
      <c r="S81" s="160" t="s">
        <v>782</v>
      </c>
      <c r="T81" s="160" t="s">
        <v>324</v>
      </c>
      <c r="U81" s="160" t="s">
        <v>783</v>
      </c>
      <c r="V81" s="172"/>
      <c r="X81" s="161" t="s">
        <v>317</v>
      </c>
      <c r="Y81" s="160" t="s">
        <v>330</v>
      </c>
      <c r="Z81" s="160" t="s">
        <v>331</v>
      </c>
      <c r="AA81" s="160" t="s">
        <v>320</v>
      </c>
      <c r="AB81" s="160" t="s">
        <v>333</v>
      </c>
      <c r="AC81" s="160" t="s">
        <v>334</v>
      </c>
      <c r="AE81" s="161" t="s">
        <v>317</v>
      </c>
      <c r="AF81" s="160" t="s">
        <v>335</v>
      </c>
      <c r="AG81" s="160" t="s">
        <v>331</v>
      </c>
      <c r="AH81" s="160" t="s">
        <v>544</v>
      </c>
      <c r="AI81" s="160" t="s">
        <v>336</v>
      </c>
      <c r="AJ81" s="160" t="s">
        <v>784</v>
      </c>
      <c r="AL81" s="161" t="s">
        <v>317</v>
      </c>
      <c r="AM81" s="160" t="s">
        <v>338</v>
      </c>
      <c r="AN81" s="160" t="s">
        <v>369</v>
      </c>
      <c r="AO81" s="160" t="s">
        <v>782</v>
      </c>
      <c r="AP81" s="160" t="s">
        <v>336</v>
      </c>
      <c r="AQ81" s="160" t="s">
        <v>339</v>
      </c>
      <c r="AR81" s="172"/>
      <c r="AT81" s="161" t="s">
        <v>317</v>
      </c>
      <c r="AU81" s="160" t="s">
        <v>340</v>
      </c>
      <c r="AV81" s="160" t="s">
        <v>344</v>
      </c>
      <c r="AW81" s="160" t="s">
        <v>786</v>
      </c>
      <c r="AX81" s="160" t="s">
        <v>333</v>
      </c>
      <c r="AY81" s="160" t="s">
        <v>787</v>
      </c>
      <c r="BA81" s="161" t="s">
        <v>317</v>
      </c>
      <c r="BB81" s="160" t="s">
        <v>343</v>
      </c>
      <c r="BC81" s="160" t="s">
        <v>423</v>
      </c>
      <c r="BD81" s="160" t="s">
        <v>786</v>
      </c>
      <c r="BE81" s="160" t="s">
        <v>336</v>
      </c>
      <c r="BF81" s="160" t="s">
        <v>788</v>
      </c>
      <c r="BH81" s="161" t="s">
        <v>317</v>
      </c>
      <c r="BI81" s="160" t="s">
        <v>347</v>
      </c>
      <c r="BJ81" s="160" t="s">
        <v>369</v>
      </c>
      <c r="BK81" s="160" t="s">
        <v>782</v>
      </c>
      <c r="BL81" s="160" t="s">
        <v>336</v>
      </c>
      <c r="BM81" s="160" t="s">
        <v>339</v>
      </c>
    </row>
    <row r="82" spans="1:65">
      <c r="B82" s="161" t="s">
        <v>349</v>
      </c>
      <c r="C82" s="160" t="s">
        <v>350</v>
      </c>
      <c r="D82" s="160" t="s">
        <v>351</v>
      </c>
      <c r="E82" s="160" t="s">
        <v>352</v>
      </c>
      <c r="F82" s="160" t="s">
        <v>353</v>
      </c>
      <c r="G82" s="160" t="s">
        <v>354</v>
      </c>
      <c r="I82" s="161" t="s">
        <v>349</v>
      </c>
      <c r="J82" s="160" t="s">
        <v>355</v>
      </c>
      <c r="K82" s="160" t="s">
        <v>356</v>
      </c>
      <c r="L82" s="160" t="s">
        <v>352</v>
      </c>
      <c r="M82" s="160" t="s">
        <v>353</v>
      </c>
      <c r="N82" s="160" t="s">
        <v>661</v>
      </c>
      <c r="P82" s="161" t="s">
        <v>349</v>
      </c>
      <c r="Q82" s="160" t="s">
        <v>355</v>
      </c>
      <c r="R82" s="160" t="s">
        <v>356</v>
      </c>
      <c r="S82" s="160" t="s">
        <v>358</v>
      </c>
      <c r="T82" s="160" t="s">
        <v>353</v>
      </c>
      <c r="U82" s="160" t="s">
        <v>359</v>
      </c>
      <c r="V82" s="172"/>
      <c r="X82" s="161" t="s">
        <v>349</v>
      </c>
      <c r="Y82" s="160" t="s">
        <v>360</v>
      </c>
      <c r="Z82" s="160" t="s">
        <v>327</v>
      </c>
      <c r="AA82" s="160" t="s">
        <v>361</v>
      </c>
      <c r="AB82" s="160" t="s">
        <v>362</v>
      </c>
      <c r="AC82" s="160" t="s">
        <v>789</v>
      </c>
      <c r="AE82" s="161" t="s">
        <v>349</v>
      </c>
      <c r="AF82" s="160" t="s">
        <v>364</v>
      </c>
      <c r="AG82" s="160" t="s">
        <v>351</v>
      </c>
      <c r="AH82" s="160" t="s">
        <v>352</v>
      </c>
      <c r="AI82" s="160" t="s">
        <v>365</v>
      </c>
      <c r="AJ82" s="160" t="s">
        <v>366</v>
      </c>
      <c r="AL82" s="161" t="s">
        <v>349</v>
      </c>
      <c r="AM82" s="160" t="s">
        <v>355</v>
      </c>
      <c r="AN82" s="160" t="s">
        <v>356</v>
      </c>
      <c r="AO82" s="160" t="s">
        <v>358</v>
      </c>
      <c r="AP82" s="160" t="s">
        <v>365</v>
      </c>
      <c r="AQ82" s="160" t="s">
        <v>665</v>
      </c>
      <c r="AR82" s="172"/>
      <c r="AT82" s="161" t="s">
        <v>349</v>
      </c>
      <c r="AU82" s="160" t="s">
        <v>368</v>
      </c>
      <c r="AV82" s="160" t="s">
        <v>662</v>
      </c>
      <c r="AW82" s="160" t="s">
        <v>460</v>
      </c>
      <c r="AX82" s="160" t="s">
        <v>362</v>
      </c>
      <c r="AY82" s="160" t="s">
        <v>370</v>
      </c>
      <c r="BA82" s="161" t="s">
        <v>349</v>
      </c>
      <c r="BB82" s="160" t="s">
        <v>371</v>
      </c>
      <c r="BC82" s="160" t="s">
        <v>351</v>
      </c>
      <c r="BD82" s="160" t="s">
        <v>361</v>
      </c>
      <c r="BE82" s="160" t="s">
        <v>365</v>
      </c>
      <c r="BF82" s="160" t="s">
        <v>372</v>
      </c>
      <c r="BH82" s="161" t="s">
        <v>349</v>
      </c>
      <c r="BI82" s="160" t="s">
        <v>355</v>
      </c>
      <c r="BJ82" s="160" t="s">
        <v>356</v>
      </c>
      <c r="BK82" s="160" t="s">
        <v>358</v>
      </c>
      <c r="BL82" s="160" t="s">
        <v>365</v>
      </c>
      <c r="BM82" s="160" t="s">
        <v>665</v>
      </c>
    </row>
    <row r="83" spans="1:65">
      <c r="V83" s="172"/>
      <c r="AR83" s="172"/>
    </row>
    <row r="84" spans="1:65" ht="12" customHeight="1">
      <c r="A84" s="165" t="s">
        <v>837</v>
      </c>
      <c r="B84" s="165"/>
      <c r="C84" s="166"/>
      <c r="D84" s="166"/>
      <c r="E84" s="166"/>
      <c r="F84" s="166"/>
      <c r="G84" s="166"/>
      <c r="H84" s="166"/>
      <c r="I84" s="167"/>
      <c r="J84" s="166"/>
      <c r="K84" s="166"/>
      <c r="L84" s="166"/>
      <c r="M84" s="166"/>
      <c r="N84" s="166"/>
      <c r="O84" s="166"/>
      <c r="P84" s="167"/>
      <c r="Q84" s="166"/>
      <c r="R84" s="166"/>
      <c r="S84" s="166"/>
      <c r="T84" s="166"/>
      <c r="U84" s="166"/>
      <c r="V84" s="168"/>
      <c r="W84" s="166"/>
      <c r="X84" s="167"/>
      <c r="Y84" s="166"/>
      <c r="Z84" s="166"/>
      <c r="AA84" s="166"/>
      <c r="AB84" s="166"/>
      <c r="AC84" s="166"/>
      <c r="AD84" s="166"/>
      <c r="AE84" s="167"/>
      <c r="AF84" s="166"/>
      <c r="AG84" s="166"/>
      <c r="AH84" s="166"/>
      <c r="AI84" s="166"/>
      <c r="AJ84" s="166"/>
      <c r="AK84" s="166"/>
      <c r="AL84" s="167"/>
      <c r="AM84" s="166"/>
      <c r="AN84" s="166"/>
      <c r="AO84" s="166"/>
      <c r="AP84" s="166"/>
      <c r="AQ84" s="166"/>
      <c r="AR84" s="168"/>
      <c r="AS84" s="166"/>
      <c r="AT84" s="167"/>
      <c r="AU84" s="166"/>
      <c r="AV84" s="166"/>
      <c r="AW84" s="166"/>
      <c r="AX84" s="166"/>
      <c r="AY84" s="166"/>
      <c r="AZ84" s="166"/>
      <c r="BA84" s="167"/>
      <c r="BB84" s="166"/>
      <c r="BC84" s="166"/>
      <c r="BD84" s="166"/>
      <c r="BE84" s="166"/>
      <c r="BF84" s="166"/>
      <c r="BG84" s="166"/>
      <c r="BH84" s="167"/>
      <c r="BI84" s="166"/>
      <c r="BJ84" s="166"/>
      <c r="BK84" s="166"/>
      <c r="BL84" s="166"/>
      <c r="BM84" s="166"/>
    </row>
    <row r="85" spans="1:65" s="170" customFormat="1">
      <c r="A85" s="169"/>
      <c r="B85" s="169" t="s">
        <v>838</v>
      </c>
      <c r="I85" s="169" t="s">
        <v>839</v>
      </c>
      <c r="P85" s="169" t="s">
        <v>840</v>
      </c>
      <c r="V85" s="171"/>
      <c r="X85" s="169" t="s">
        <v>841</v>
      </c>
      <c r="AE85" s="169" t="s">
        <v>842</v>
      </c>
      <c r="AL85" s="169" t="s">
        <v>843</v>
      </c>
      <c r="AR85" s="171"/>
      <c r="AT85" s="169" t="s">
        <v>844</v>
      </c>
      <c r="BA85" s="169" t="s">
        <v>845</v>
      </c>
      <c r="BH85" s="169" t="s">
        <v>846</v>
      </c>
    </row>
    <row r="86" spans="1:65">
      <c r="C86" s="160" t="s">
        <v>243</v>
      </c>
      <c r="D86" s="160" t="s">
        <v>23</v>
      </c>
      <c r="E86" s="160" t="s">
        <v>24</v>
      </c>
      <c r="F86" s="160" t="s">
        <v>244</v>
      </c>
      <c r="G86" s="160" t="s">
        <v>26</v>
      </c>
      <c r="J86" s="160" t="s">
        <v>243</v>
      </c>
      <c r="K86" s="160" t="s">
        <v>23</v>
      </c>
      <c r="L86" s="160" t="s">
        <v>24</v>
      </c>
      <c r="M86" s="160" t="s">
        <v>244</v>
      </c>
      <c r="N86" s="160" t="s">
        <v>26</v>
      </c>
      <c r="Q86" s="160" t="s">
        <v>243</v>
      </c>
      <c r="R86" s="160" t="s">
        <v>23</v>
      </c>
      <c r="S86" s="160" t="s">
        <v>24</v>
      </c>
      <c r="T86" s="160" t="s">
        <v>244</v>
      </c>
      <c r="U86" s="160" t="s">
        <v>26</v>
      </c>
      <c r="V86" s="172"/>
      <c r="Y86" s="160" t="s">
        <v>243</v>
      </c>
      <c r="Z86" s="160" t="s">
        <v>23</v>
      </c>
      <c r="AA86" s="160" t="s">
        <v>24</v>
      </c>
      <c r="AB86" s="160" t="s">
        <v>244</v>
      </c>
      <c r="AC86" s="160" t="s">
        <v>26</v>
      </c>
      <c r="AF86" s="160" t="s">
        <v>243</v>
      </c>
      <c r="AG86" s="160" t="s">
        <v>23</v>
      </c>
      <c r="AH86" s="160" t="s">
        <v>24</v>
      </c>
      <c r="AI86" s="160" t="s">
        <v>244</v>
      </c>
      <c r="AJ86" s="160" t="s">
        <v>26</v>
      </c>
      <c r="AM86" s="160" t="s">
        <v>243</v>
      </c>
      <c r="AN86" s="160" t="s">
        <v>23</v>
      </c>
      <c r="AO86" s="160" t="s">
        <v>24</v>
      </c>
      <c r="AP86" s="160" t="s">
        <v>244</v>
      </c>
      <c r="AQ86" s="160" t="s">
        <v>26</v>
      </c>
      <c r="AR86" s="172"/>
      <c r="AU86" s="160" t="s">
        <v>243</v>
      </c>
      <c r="AV86" s="160" t="s">
        <v>23</v>
      </c>
      <c r="AW86" s="160" t="s">
        <v>24</v>
      </c>
      <c r="AX86" s="160" t="s">
        <v>244</v>
      </c>
      <c r="AY86" s="160" t="s">
        <v>26</v>
      </c>
      <c r="BB86" s="160" t="s">
        <v>243</v>
      </c>
      <c r="BC86" s="160" t="s">
        <v>23</v>
      </c>
      <c r="BD86" s="160" t="s">
        <v>24</v>
      </c>
      <c r="BE86" s="160" t="s">
        <v>244</v>
      </c>
      <c r="BF86" s="160" t="s">
        <v>26</v>
      </c>
      <c r="BI86" s="160" t="s">
        <v>243</v>
      </c>
      <c r="BJ86" s="160" t="s">
        <v>23</v>
      </c>
      <c r="BK86" s="160" t="s">
        <v>24</v>
      </c>
      <c r="BL86" s="160" t="s">
        <v>244</v>
      </c>
      <c r="BM86" s="160" t="s">
        <v>26</v>
      </c>
    </row>
    <row r="87" spans="1:65">
      <c r="B87" s="161" t="s">
        <v>26</v>
      </c>
      <c r="C87" s="160" t="s">
        <v>847</v>
      </c>
      <c r="D87" s="160" t="s">
        <v>848</v>
      </c>
      <c r="E87" s="160" t="s">
        <v>849</v>
      </c>
      <c r="F87" s="160" t="s">
        <v>248</v>
      </c>
      <c r="G87" s="160" t="s">
        <v>850</v>
      </c>
      <c r="I87" s="161" t="s">
        <v>26</v>
      </c>
      <c r="J87" s="160" t="s">
        <v>851</v>
      </c>
      <c r="K87" s="160" t="s">
        <v>852</v>
      </c>
      <c r="L87" s="160" t="s">
        <v>853</v>
      </c>
      <c r="M87" s="160" t="s">
        <v>253</v>
      </c>
      <c r="N87" s="160" t="s">
        <v>854</v>
      </c>
      <c r="P87" s="161" t="s">
        <v>26</v>
      </c>
      <c r="Q87" s="160" t="s">
        <v>855</v>
      </c>
      <c r="R87" s="160" t="s">
        <v>856</v>
      </c>
      <c r="S87" s="160" t="s">
        <v>857</v>
      </c>
      <c r="T87" s="160" t="s">
        <v>253</v>
      </c>
      <c r="U87" s="160" t="s">
        <v>858</v>
      </c>
      <c r="V87" s="172"/>
      <c r="X87" s="161" t="s">
        <v>26</v>
      </c>
      <c r="Y87" s="160" t="s">
        <v>859</v>
      </c>
      <c r="Z87" s="160" t="s">
        <v>860</v>
      </c>
      <c r="AA87" s="160" t="s">
        <v>861</v>
      </c>
      <c r="AB87" s="160" t="s">
        <v>262</v>
      </c>
      <c r="AC87" s="160" t="s">
        <v>862</v>
      </c>
      <c r="AE87" s="161" t="s">
        <v>26</v>
      </c>
      <c r="AF87" s="160" t="s">
        <v>863</v>
      </c>
      <c r="AG87" s="160" t="s">
        <v>864</v>
      </c>
      <c r="AH87" s="160" t="s">
        <v>865</v>
      </c>
      <c r="AI87" s="160" t="s">
        <v>267</v>
      </c>
      <c r="AJ87" s="160" t="s">
        <v>866</v>
      </c>
      <c r="AL87" s="161" t="s">
        <v>26</v>
      </c>
      <c r="AM87" s="160" t="s">
        <v>867</v>
      </c>
      <c r="AN87" s="160" t="s">
        <v>856</v>
      </c>
      <c r="AO87" s="160" t="s">
        <v>857</v>
      </c>
      <c r="AP87" s="160" t="s">
        <v>267</v>
      </c>
      <c r="AQ87" s="160" t="s">
        <v>868</v>
      </c>
      <c r="AR87" s="172"/>
      <c r="AT87" s="161" t="s">
        <v>26</v>
      </c>
      <c r="AU87" s="160" t="s">
        <v>869</v>
      </c>
      <c r="AV87" s="160" t="s">
        <v>870</v>
      </c>
      <c r="AW87" s="160" t="s">
        <v>871</v>
      </c>
      <c r="AX87" s="160" t="s">
        <v>262</v>
      </c>
      <c r="AY87" s="160" t="s">
        <v>872</v>
      </c>
      <c r="BA87" s="161" t="s">
        <v>26</v>
      </c>
      <c r="BB87" s="160" t="s">
        <v>873</v>
      </c>
      <c r="BC87" s="160" t="s">
        <v>874</v>
      </c>
      <c r="BD87" s="160" t="s">
        <v>875</v>
      </c>
      <c r="BE87" s="160" t="s">
        <v>267</v>
      </c>
      <c r="BF87" s="160" t="s">
        <v>876</v>
      </c>
      <c r="BH87" s="161" t="s">
        <v>26</v>
      </c>
      <c r="BI87" s="160" t="s">
        <v>652</v>
      </c>
      <c r="BJ87" s="160" t="s">
        <v>856</v>
      </c>
      <c r="BK87" s="160" t="s">
        <v>857</v>
      </c>
      <c r="BL87" s="160" t="s">
        <v>267</v>
      </c>
      <c r="BM87" s="160" t="s">
        <v>877</v>
      </c>
    </row>
    <row r="88" spans="1:65">
      <c r="B88" s="161" t="s">
        <v>281</v>
      </c>
      <c r="C88" s="160" t="s">
        <v>878</v>
      </c>
      <c r="D88" s="160" t="s">
        <v>879</v>
      </c>
      <c r="E88" s="160" t="s">
        <v>880</v>
      </c>
      <c r="F88" s="160" t="s">
        <v>285</v>
      </c>
      <c r="G88" s="160" t="s">
        <v>881</v>
      </c>
      <c r="I88" s="161" t="s">
        <v>281</v>
      </c>
      <c r="J88" s="160" t="s">
        <v>652</v>
      </c>
      <c r="K88" s="160" t="s">
        <v>882</v>
      </c>
      <c r="L88" s="160" t="s">
        <v>883</v>
      </c>
      <c r="M88" s="160" t="s">
        <v>289</v>
      </c>
      <c r="N88" s="160" t="s">
        <v>884</v>
      </c>
      <c r="P88" s="161" t="s">
        <v>281</v>
      </c>
      <c r="Q88" s="160" t="s">
        <v>885</v>
      </c>
      <c r="R88" s="160" t="s">
        <v>886</v>
      </c>
      <c r="S88" s="160" t="s">
        <v>887</v>
      </c>
      <c r="T88" s="160" t="s">
        <v>289</v>
      </c>
      <c r="U88" s="160" t="s">
        <v>888</v>
      </c>
      <c r="V88" s="172"/>
      <c r="X88" s="161" t="s">
        <v>281</v>
      </c>
      <c r="Y88" s="160" t="s">
        <v>889</v>
      </c>
      <c r="Z88" s="160" t="s">
        <v>890</v>
      </c>
      <c r="AA88" s="160" t="s">
        <v>891</v>
      </c>
      <c r="AB88" s="160" t="s">
        <v>298</v>
      </c>
      <c r="AC88" s="160" t="s">
        <v>892</v>
      </c>
      <c r="AE88" s="161" t="s">
        <v>281</v>
      </c>
      <c r="AF88" s="160" t="s">
        <v>893</v>
      </c>
      <c r="AG88" s="160" t="s">
        <v>894</v>
      </c>
      <c r="AH88" s="160" t="s">
        <v>895</v>
      </c>
      <c r="AI88" s="160" t="s">
        <v>303</v>
      </c>
      <c r="AJ88" s="160" t="s">
        <v>896</v>
      </c>
      <c r="AL88" s="161" t="s">
        <v>281</v>
      </c>
      <c r="AM88" s="160" t="s">
        <v>897</v>
      </c>
      <c r="AN88" s="160" t="s">
        <v>886</v>
      </c>
      <c r="AO88" s="160" t="s">
        <v>887</v>
      </c>
      <c r="AP88" s="160" t="s">
        <v>303</v>
      </c>
      <c r="AQ88" s="160" t="s">
        <v>898</v>
      </c>
      <c r="AR88" s="172"/>
      <c r="AT88" s="161" t="s">
        <v>281</v>
      </c>
      <c r="AU88" s="160" t="s">
        <v>899</v>
      </c>
      <c r="AV88" s="160" t="s">
        <v>900</v>
      </c>
      <c r="AW88" s="160" t="s">
        <v>901</v>
      </c>
      <c r="AX88" s="160" t="s">
        <v>298</v>
      </c>
      <c r="AY88" s="160" t="s">
        <v>902</v>
      </c>
      <c r="BA88" s="161" t="s">
        <v>281</v>
      </c>
      <c r="BB88" s="160" t="s">
        <v>903</v>
      </c>
      <c r="BC88" s="160" t="s">
        <v>904</v>
      </c>
      <c r="BD88" s="160" t="s">
        <v>905</v>
      </c>
      <c r="BE88" s="160" t="s">
        <v>303</v>
      </c>
      <c r="BF88" s="160" t="s">
        <v>906</v>
      </c>
      <c r="BH88" s="161" t="s">
        <v>281</v>
      </c>
      <c r="BI88" s="160" t="s">
        <v>907</v>
      </c>
      <c r="BJ88" s="160" t="s">
        <v>886</v>
      </c>
      <c r="BK88" s="160" t="s">
        <v>887</v>
      </c>
      <c r="BL88" s="160" t="s">
        <v>303</v>
      </c>
      <c r="BM88" s="160" t="s">
        <v>908</v>
      </c>
    </row>
    <row r="89" spans="1:65">
      <c r="B89" s="161" t="s">
        <v>317</v>
      </c>
      <c r="C89" s="160" t="s">
        <v>318</v>
      </c>
      <c r="D89" s="160" t="s">
        <v>909</v>
      </c>
      <c r="E89" s="160" t="s">
        <v>910</v>
      </c>
      <c r="F89" s="160" t="s">
        <v>321</v>
      </c>
      <c r="G89" s="160" t="s">
        <v>911</v>
      </c>
      <c r="I89" s="161" t="s">
        <v>317</v>
      </c>
      <c r="J89" s="160" t="s">
        <v>347</v>
      </c>
      <c r="K89" s="160" t="s">
        <v>912</v>
      </c>
      <c r="L89" s="160" t="s">
        <v>913</v>
      </c>
      <c r="M89" s="160" t="s">
        <v>324</v>
      </c>
      <c r="N89" s="160" t="s">
        <v>914</v>
      </c>
      <c r="P89" s="161" t="s">
        <v>317</v>
      </c>
      <c r="Q89" s="160" t="s">
        <v>326</v>
      </c>
      <c r="R89" s="160" t="s">
        <v>915</v>
      </c>
      <c r="S89" s="160" t="s">
        <v>916</v>
      </c>
      <c r="T89" s="160" t="s">
        <v>324</v>
      </c>
      <c r="U89" s="160" t="s">
        <v>917</v>
      </c>
      <c r="V89" s="172"/>
      <c r="X89" s="161" t="s">
        <v>317</v>
      </c>
      <c r="Y89" s="160" t="s">
        <v>918</v>
      </c>
      <c r="Z89" s="160" t="s">
        <v>919</v>
      </c>
      <c r="AA89" s="160" t="s">
        <v>920</v>
      </c>
      <c r="AB89" s="160" t="s">
        <v>333</v>
      </c>
      <c r="AC89" s="160" t="s">
        <v>921</v>
      </c>
      <c r="AE89" s="161" t="s">
        <v>317</v>
      </c>
      <c r="AF89" s="160" t="s">
        <v>922</v>
      </c>
      <c r="AG89" s="160" t="s">
        <v>923</v>
      </c>
      <c r="AH89" s="160" t="s">
        <v>924</v>
      </c>
      <c r="AI89" s="160" t="s">
        <v>336</v>
      </c>
      <c r="AJ89" s="160" t="s">
        <v>925</v>
      </c>
      <c r="AL89" s="161" t="s">
        <v>317</v>
      </c>
      <c r="AM89" s="160" t="s">
        <v>338</v>
      </c>
      <c r="AN89" s="160" t="s">
        <v>915</v>
      </c>
      <c r="AO89" s="160" t="s">
        <v>916</v>
      </c>
      <c r="AP89" s="160" t="s">
        <v>336</v>
      </c>
      <c r="AQ89" s="160" t="s">
        <v>926</v>
      </c>
      <c r="AR89" s="172"/>
      <c r="AT89" s="161" t="s">
        <v>317</v>
      </c>
      <c r="AU89" s="160" t="s">
        <v>927</v>
      </c>
      <c r="AV89" s="160" t="s">
        <v>928</v>
      </c>
      <c r="AW89" s="160" t="s">
        <v>929</v>
      </c>
      <c r="AX89" s="160" t="s">
        <v>333</v>
      </c>
      <c r="AY89" s="160" t="s">
        <v>930</v>
      </c>
      <c r="BA89" s="161" t="s">
        <v>317</v>
      </c>
      <c r="BB89" s="160" t="s">
        <v>931</v>
      </c>
      <c r="BC89" s="160" t="s">
        <v>919</v>
      </c>
      <c r="BD89" s="160" t="s">
        <v>932</v>
      </c>
      <c r="BE89" s="160" t="s">
        <v>336</v>
      </c>
      <c r="BF89" s="160" t="s">
        <v>933</v>
      </c>
      <c r="BH89" s="161" t="s">
        <v>317</v>
      </c>
      <c r="BI89" s="160" t="s">
        <v>338</v>
      </c>
      <c r="BJ89" s="160" t="s">
        <v>915</v>
      </c>
      <c r="BK89" s="160" t="s">
        <v>916</v>
      </c>
      <c r="BL89" s="160" t="s">
        <v>336</v>
      </c>
      <c r="BM89" s="160" t="s">
        <v>934</v>
      </c>
    </row>
    <row r="90" spans="1:65">
      <c r="B90" s="161" t="s">
        <v>349</v>
      </c>
      <c r="C90" s="160" t="s">
        <v>350</v>
      </c>
      <c r="D90" s="160" t="s">
        <v>935</v>
      </c>
      <c r="E90" s="160" t="s">
        <v>936</v>
      </c>
      <c r="F90" s="160" t="s">
        <v>353</v>
      </c>
      <c r="G90" s="160" t="s">
        <v>937</v>
      </c>
      <c r="I90" s="161" t="s">
        <v>349</v>
      </c>
      <c r="J90" s="160" t="s">
        <v>355</v>
      </c>
      <c r="K90" s="160" t="s">
        <v>938</v>
      </c>
      <c r="L90" s="160" t="s">
        <v>939</v>
      </c>
      <c r="M90" s="160" t="s">
        <v>353</v>
      </c>
      <c r="N90" s="160" t="s">
        <v>940</v>
      </c>
      <c r="P90" s="161" t="s">
        <v>349</v>
      </c>
      <c r="Q90" s="160" t="s">
        <v>355</v>
      </c>
      <c r="R90" s="160" t="s">
        <v>662</v>
      </c>
      <c r="S90" s="160" t="s">
        <v>941</v>
      </c>
      <c r="T90" s="160" t="s">
        <v>353</v>
      </c>
      <c r="U90" s="160" t="s">
        <v>942</v>
      </c>
      <c r="V90" s="172"/>
      <c r="X90" s="161" t="s">
        <v>349</v>
      </c>
      <c r="Y90" s="160" t="s">
        <v>360</v>
      </c>
      <c r="Z90" s="160" t="s">
        <v>943</v>
      </c>
      <c r="AA90" s="160" t="s">
        <v>944</v>
      </c>
      <c r="AB90" s="160" t="s">
        <v>362</v>
      </c>
      <c r="AC90" s="160" t="s">
        <v>945</v>
      </c>
      <c r="AE90" s="161" t="s">
        <v>349</v>
      </c>
      <c r="AF90" s="160" t="s">
        <v>364</v>
      </c>
      <c r="AG90" s="160" t="s">
        <v>946</v>
      </c>
      <c r="AH90" s="160" t="s">
        <v>939</v>
      </c>
      <c r="AI90" s="160" t="s">
        <v>365</v>
      </c>
      <c r="AJ90" s="160" t="s">
        <v>947</v>
      </c>
      <c r="AL90" s="161" t="s">
        <v>349</v>
      </c>
      <c r="AM90" s="160" t="s">
        <v>355</v>
      </c>
      <c r="AN90" s="160" t="s">
        <v>662</v>
      </c>
      <c r="AO90" s="160" t="s">
        <v>941</v>
      </c>
      <c r="AP90" s="160" t="s">
        <v>365</v>
      </c>
      <c r="AQ90" s="160" t="s">
        <v>940</v>
      </c>
      <c r="AR90" s="172"/>
      <c r="AT90" s="161" t="s">
        <v>349</v>
      </c>
      <c r="AU90" s="160" t="s">
        <v>368</v>
      </c>
      <c r="AV90" s="160" t="s">
        <v>948</v>
      </c>
      <c r="AW90" s="160" t="s">
        <v>944</v>
      </c>
      <c r="AX90" s="160" t="s">
        <v>362</v>
      </c>
      <c r="AY90" s="160" t="s">
        <v>949</v>
      </c>
      <c r="BA90" s="161" t="s">
        <v>349</v>
      </c>
      <c r="BB90" s="160" t="s">
        <v>371</v>
      </c>
      <c r="BC90" s="160" t="s">
        <v>950</v>
      </c>
      <c r="BD90" s="160" t="s">
        <v>951</v>
      </c>
      <c r="BE90" s="160" t="s">
        <v>365</v>
      </c>
      <c r="BF90" s="160" t="s">
        <v>952</v>
      </c>
      <c r="BH90" s="161" t="s">
        <v>349</v>
      </c>
      <c r="BI90" s="160" t="s">
        <v>355</v>
      </c>
      <c r="BJ90" s="160" t="s">
        <v>662</v>
      </c>
      <c r="BK90" s="160" t="s">
        <v>941</v>
      </c>
      <c r="BL90" s="160" t="s">
        <v>365</v>
      </c>
      <c r="BM90" s="160" t="s">
        <v>940</v>
      </c>
    </row>
    <row r="91" spans="1:65">
      <c r="V91" s="172"/>
      <c r="AR91" s="172"/>
    </row>
    <row r="92" spans="1:65" ht="12" customHeight="1">
      <c r="A92" s="165" t="s">
        <v>953</v>
      </c>
      <c r="B92" s="165"/>
      <c r="C92" s="166"/>
      <c r="D92" s="166"/>
      <c r="E92" s="166"/>
      <c r="F92" s="166"/>
      <c r="G92" s="166"/>
      <c r="H92" s="166"/>
      <c r="I92" s="167"/>
      <c r="J92" s="166"/>
      <c r="K92" s="166"/>
      <c r="L92" s="166"/>
      <c r="M92" s="166"/>
      <c r="N92" s="166"/>
      <c r="O92" s="166"/>
      <c r="P92" s="167"/>
      <c r="Q92" s="166"/>
      <c r="R92" s="166"/>
      <c r="S92" s="166"/>
      <c r="T92" s="166"/>
      <c r="U92" s="166"/>
      <c r="V92" s="168"/>
      <c r="W92" s="166"/>
      <c r="X92" s="167"/>
      <c r="Y92" s="166"/>
      <c r="Z92" s="166"/>
      <c r="AA92" s="166"/>
      <c r="AB92" s="166"/>
      <c r="AC92" s="166"/>
      <c r="AD92" s="166"/>
      <c r="AE92" s="167"/>
      <c r="AF92" s="166"/>
      <c r="AG92" s="166"/>
      <c r="AH92" s="166"/>
      <c r="AI92" s="166"/>
      <c r="AJ92" s="166"/>
      <c r="AK92" s="166"/>
      <c r="AL92" s="167"/>
      <c r="AM92" s="166"/>
      <c r="AN92" s="166"/>
      <c r="AO92" s="166"/>
      <c r="AP92" s="166"/>
      <c r="AQ92" s="166"/>
      <c r="AR92" s="168"/>
      <c r="AS92" s="166"/>
      <c r="AT92" s="167"/>
      <c r="AU92" s="166"/>
      <c r="AV92" s="166"/>
      <c r="AW92" s="166"/>
      <c r="AX92" s="166"/>
      <c r="AY92" s="166"/>
      <c r="AZ92" s="166"/>
      <c r="BA92" s="167"/>
      <c r="BB92" s="166"/>
      <c r="BC92" s="166"/>
      <c r="BD92" s="166"/>
      <c r="BE92" s="166"/>
      <c r="BF92" s="166"/>
      <c r="BG92" s="166"/>
      <c r="BH92" s="167"/>
      <c r="BI92" s="166"/>
      <c r="BJ92" s="166"/>
      <c r="BK92" s="166"/>
      <c r="BL92" s="166"/>
      <c r="BM92" s="166"/>
    </row>
    <row r="93" spans="1:65" s="170" customFormat="1">
      <c r="A93" s="169"/>
      <c r="B93" s="169" t="s">
        <v>954</v>
      </c>
      <c r="I93" s="169" t="s">
        <v>955</v>
      </c>
      <c r="P93" s="169" t="s">
        <v>956</v>
      </c>
      <c r="V93" s="171"/>
      <c r="X93" s="169" t="s">
        <v>957</v>
      </c>
      <c r="AE93" s="169" t="s">
        <v>958</v>
      </c>
      <c r="AL93" s="169" t="s">
        <v>959</v>
      </c>
      <c r="AR93" s="171"/>
      <c r="AT93" s="169" t="s">
        <v>960</v>
      </c>
      <c r="BA93" s="169" t="s">
        <v>961</v>
      </c>
      <c r="BH93" s="169" t="s">
        <v>962</v>
      </c>
    </row>
    <row r="94" spans="1:65">
      <c r="C94" s="160" t="s">
        <v>243</v>
      </c>
      <c r="D94" s="160" t="s">
        <v>23</v>
      </c>
      <c r="E94" s="160" t="s">
        <v>24</v>
      </c>
      <c r="F94" s="160" t="s">
        <v>244</v>
      </c>
      <c r="G94" s="160" t="s">
        <v>26</v>
      </c>
      <c r="J94" s="160" t="s">
        <v>243</v>
      </c>
      <c r="K94" s="160" t="s">
        <v>23</v>
      </c>
      <c r="L94" s="160" t="s">
        <v>24</v>
      </c>
      <c r="M94" s="160" t="s">
        <v>244</v>
      </c>
      <c r="N94" s="160" t="s">
        <v>26</v>
      </c>
      <c r="Q94" s="160" t="s">
        <v>243</v>
      </c>
      <c r="R94" s="160" t="s">
        <v>23</v>
      </c>
      <c r="S94" s="160" t="s">
        <v>24</v>
      </c>
      <c r="T94" s="160" t="s">
        <v>244</v>
      </c>
      <c r="U94" s="160" t="s">
        <v>26</v>
      </c>
      <c r="V94" s="172"/>
      <c r="Y94" s="160" t="s">
        <v>243</v>
      </c>
      <c r="Z94" s="160" t="s">
        <v>23</v>
      </c>
      <c r="AA94" s="160" t="s">
        <v>24</v>
      </c>
      <c r="AB94" s="160" t="s">
        <v>244</v>
      </c>
      <c r="AC94" s="160" t="s">
        <v>26</v>
      </c>
      <c r="AF94" s="160" t="s">
        <v>243</v>
      </c>
      <c r="AG94" s="160" t="s">
        <v>23</v>
      </c>
      <c r="AH94" s="160" t="s">
        <v>24</v>
      </c>
      <c r="AI94" s="160" t="s">
        <v>244</v>
      </c>
      <c r="AJ94" s="160" t="s">
        <v>26</v>
      </c>
      <c r="AM94" s="160" t="s">
        <v>243</v>
      </c>
      <c r="AN94" s="160" t="s">
        <v>23</v>
      </c>
      <c r="AO94" s="160" t="s">
        <v>24</v>
      </c>
      <c r="AP94" s="160" t="s">
        <v>244</v>
      </c>
      <c r="AQ94" s="160" t="s">
        <v>26</v>
      </c>
      <c r="AR94" s="172"/>
      <c r="AU94" s="160" t="s">
        <v>243</v>
      </c>
      <c r="AV94" s="160" t="s">
        <v>23</v>
      </c>
      <c r="AW94" s="160" t="s">
        <v>24</v>
      </c>
      <c r="AX94" s="160" t="s">
        <v>244</v>
      </c>
      <c r="AY94" s="160" t="s">
        <v>26</v>
      </c>
      <c r="BB94" s="160" t="s">
        <v>243</v>
      </c>
      <c r="BC94" s="160" t="s">
        <v>23</v>
      </c>
      <c r="BD94" s="160" t="s">
        <v>24</v>
      </c>
      <c r="BE94" s="160" t="s">
        <v>244</v>
      </c>
      <c r="BF94" s="160" t="s">
        <v>26</v>
      </c>
      <c r="BI94" s="160" t="s">
        <v>243</v>
      </c>
      <c r="BJ94" s="160" t="s">
        <v>23</v>
      </c>
      <c r="BK94" s="160" t="s">
        <v>24</v>
      </c>
      <c r="BL94" s="160" t="s">
        <v>244</v>
      </c>
      <c r="BM94" s="160" t="s">
        <v>26</v>
      </c>
    </row>
    <row r="95" spans="1:65">
      <c r="B95" s="161" t="s">
        <v>26</v>
      </c>
      <c r="C95" s="160" t="s">
        <v>847</v>
      </c>
      <c r="D95" s="160" t="s">
        <v>963</v>
      </c>
      <c r="E95" s="160" t="s">
        <v>964</v>
      </c>
      <c r="F95" s="160" t="s">
        <v>248</v>
      </c>
      <c r="G95" s="160" t="s">
        <v>965</v>
      </c>
      <c r="I95" s="161" t="s">
        <v>26</v>
      </c>
      <c r="J95" s="160" t="s">
        <v>851</v>
      </c>
      <c r="K95" s="160" t="s">
        <v>966</v>
      </c>
      <c r="L95" s="160" t="s">
        <v>967</v>
      </c>
      <c r="M95" s="160" t="s">
        <v>253</v>
      </c>
      <c r="N95" s="160" t="s">
        <v>968</v>
      </c>
      <c r="P95" s="161" t="s">
        <v>26</v>
      </c>
      <c r="Q95" s="160" t="s">
        <v>855</v>
      </c>
      <c r="R95" s="160" t="s">
        <v>969</v>
      </c>
      <c r="S95" s="160" t="s">
        <v>970</v>
      </c>
      <c r="T95" s="160" t="s">
        <v>253</v>
      </c>
      <c r="U95" s="160" t="s">
        <v>971</v>
      </c>
      <c r="V95" s="172"/>
      <c r="X95" s="161" t="s">
        <v>26</v>
      </c>
      <c r="Y95" s="160" t="s">
        <v>859</v>
      </c>
      <c r="Z95" s="160" t="s">
        <v>972</v>
      </c>
      <c r="AA95" s="160" t="s">
        <v>973</v>
      </c>
      <c r="AB95" s="160" t="s">
        <v>262</v>
      </c>
      <c r="AC95" s="160" t="s">
        <v>974</v>
      </c>
      <c r="AE95" s="161" t="s">
        <v>26</v>
      </c>
      <c r="AF95" s="160" t="s">
        <v>863</v>
      </c>
      <c r="AG95" s="160" t="s">
        <v>975</v>
      </c>
      <c r="AH95" s="160" t="s">
        <v>976</v>
      </c>
      <c r="AI95" s="160" t="s">
        <v>267</v>
      </c>
      <c r="AJ95" s="160" t="s">
        <v>977</v>
      </c>
      <c r="AL95" s="161" t="s">
        <v>26</v>
      </c>
      <c r="AM95" s="160" t="s">
        <v>867</v>
      </c>
      <c r="AN95" s="160" t="s">
        <v>969</v>
      </c>
      <c r="AO95" s="160" t="s">
        <v>970</v>
      </c>
      <c r="AP95" s="160" t="s">
        <v>267</v>
      </c>
      <c r="AQ95" s="160" t="s">
        <v>978</v>
      </c>
      <c r="AR95" s="172"/>
      <c r="AT95" s="161" t="s">
        <v>26</v>
      </c>
      <c r="AU95" s="160" t="s">
        <v>869</v>
      </c>
      <c r="AV95" s="160" t="s">
        <v>979</v>
      </c>
      <c r="AW95" s="160" t="s">
        <v>980</v>
      </c>
      <c r="AX95" s="160" t="s">
        <v>262</v>
      </c>
      <c r="AY95" s="160" t="s">
        <v>981</v>
      </c>
      <c r="BA95" s="161" t="s">
        <v>26</v>
      </c>
      <c r="BB95" s="160" t="s">
        <v>873</v>
      </c>
      <c r="BC95" s="160" t="s">
        <v>982</v>
      </c>
      <c r="BD95" s="160" t="s">
        <v>983</v>
      </c>
      <c r="BE95" s="160" t="s">
        <v>267</v>
      </c>
      <c r="BF95" s="160" t="s">
        <v>984</v>
      </c>
      <c r="BH95" s="161" t="s">
        <v>26</v>
      </c>
      <c r="BI95" s="160" t="s">
        <v>652</v>
      </c>
      <c r="BJ95" s="160" t="s">
        <v>969</v>
      </c>
      <c r="BK95" s="160" t="s">
        <v>970</v>
      </c>
      <c r="BL95" s="160" t="s">
        <v>267</v>
      </c>
      <c r="BM95" s="160" t="s">
        <v>985</v>
      </c>
    </row>
    <row r="96" spans="1:65">
      <c r="B96" s="161" t="s">
        <v>281</v>
      </c>
      <c r="C96" s="160" t="s">
        <v>878</v>
      </c>
      <c r="D96" s="160" t="s">
        <v>986</v>
      </c>
      <c r="E96" s="160" t="s">
        <v>987</v>
      </c>
      <c r="F96" s="160" t="s">
        <v>285</v>
      </c>
      <c r="G96" s="160" t="s">
        <v>988</v>
      </c>
      <c r="I96" s="161" t="s">
        <v>281</v>
      </c>
      <c r="J96" s="160" t="s">
        <v>652</v>
      </c>
      <c r="K96" s="160" t="s">
        <v>989</v>
      </c>
      <c r="L96" s="160" t="s">
        <v>990</v>
      </c>
      <c r="M96" s="160" t="s">
        <v>289</v>
      </c>
      <c r="N96" s="160" t="s">
        <v>991</v>
      </c>
      <c r="P96" s="161" t="s">
        <v>281</v>
      </c>
      <c r="Q96" s="160" t="s">
        <v>885</v>
      </c>
      <c r="R96" s="160" t="s">
        <v>992</v>
      </c>
      <c r="S96" s="160" t="s">
        <v>993</v>
      </c>
      <c r="T96" s="160" t="s">
        <v>289</v>
      </c>
      <c r="U96" s="160" t="s">
        <v>994</v>
      </c>
      <c r="V96" s="172"/>
      <c r="X96" s="161" t="s">
        <v>281</v>
      </c>
      <c r="Y96" s="160" t="s">
        <v>889</v>
      </c>
      <c r="Z96" s="160" t="s">
        <v>995</v>
      </c>
      <c r="AA96" s="160" t="s">
        <v>996</v>
      </c>
      <c r="AB96" s="160" t="s">
        <v>298</v>
      </c>
      <c r="AC96" s="160" t="s">
        <v>997</v>
      </c>
      <c r="AE96" s="161" t="s">
        <v>281</v>
      </c>
      <c r="AF96" s="160" t="s">
        <v>893</v>
      </c>
      <c r="AG96" s="160" t="s">
        <v>998</v>
      </c>
      <c r="AH96" s="160" t="s">
        <v>999</v>
      </c>
      <c r="AI96" s="160" t="s">
        <v>303</v>
      </c>
      <c r="AJ96" s="160" t="s">
        <v>1000</v>
      </c>
      <c r="AL96" s="161" t="s">
        <v>281</v>
      </c>
      <c r="AM96" s="160" t="s">
        <v>897</v>
      </c>
      <c r="AN96" s="160" t="s">
        <v>992</v>
      </c>
      <c r="AO96" s="160" t="s">
        <v>993</v>
      </c>
      <c r="AP96" s="160" t="s">
        <v>303</v>
      </c>
      <c r="AQ96" s="160" t="s">
        <v>1001</v>
      </c>
      <c r="AR96" s="172"/>
      <c r="AT96" s="161" t="s">
        <v>281</v>
      </c>
      <c r="AU96" s="160" t="s">
        <v>899</v>
      </c>
      <c r="AV96" s="160" t="s">
        <v>1002</v>
      </c>
      <c r="AW96" s="160" t="s">
        <v>1003</v>
      </c>
      <c r="AX96" s="160" t="s">
        <v>298</v>
      </c>
      <c r="AY96" s="160" t="s">
        <v>1004</v>
      </c>
      <c r="BA96" s="161" t="s">
        <v>281</v>
      </c>
      <c r="BB96" s="160" t="s">
        <v>903</v>
      </c>
      <c r="BC96" s="160" t="s">
        <v>1005</v>
      </c>
      <c r="BD96" s="160" t="s">
        <v>1006</v>
      </c>
      <c r="BE96" s="160" t="s">
        <v>303</v>
      </c>
      <c r="BF96" s="160" t="s">
        <v>1007</v>
      </c>
      <c r="BH96" s="161" t="s">
        <v>281</v>
      </c>
      <c r="BI96" s="160" t="s">
        <v>907</v>
      </c>
      <c r="BJ96" s="160" t="s">
        <v>992</v>
      </c>
      <c r="BK96" s="160" t="s">
        <v>993</v>
      </c>
      <c r="BL96" s="160" t="s">
        <v>303</v>
      </c>
      <c r="BM96" s="160" t="s">
        <v>1008</v>
      </c>
    </row>
    <row r="97" spans="1:65">
      <c r="B97" s="161" t="s">
        <v>317</v>
      </c>
      <c r="C97" s="160" t="s">
        <v>318</v>
      </c>
      <c r="D97" s="160" t="s">
        <v>1009</v>
      </c>
      <c r="E97" s="160" t="s">
        <v>1010</v>
      </c>
      <c r="F97" s="160" t="s">
        <v>321</v>
      </c>
      <c r="G97" s="160" t="s">
        <v>1011</v>
      </c>
      <c r="I97" s="161" t="s">
        <v>317</v>
      </c>
      <c r="J97" s="160" t="s">
        <v>347</v>
      </c>
      <c r="K97" s="160" t="s">
        <v>1012</v>
      </c>
      <c r="L97" s="160" t="s">
        <v>916</v>
      </c>
      <c r="M97" s="160" t="s">
        <v>324</v>
      </c>
      <c r="N97" s="160" t="s">
        <v>1013</v>
      </c>
      <c r="P97" s="161" t="s">
        <v>317</v>
      </c>
      <c r="Q97" s="160" t="s">
        <v>326</v>
      </c>
      <c r="R97" s="160" t="s">
        <v>658</v>
      </c>
      <c r="S97" s="160" t="s">
        <v>1014</v>
      </c>
      <c r="T97" s="160" t="s">
        <v>324</v>
      </c>
      <c r="U97" s="160" t="s">
        <v>322</v>
      </c>
      <c r="V97" s="172"/>
      <c r="X97" s="161" t="s">
        <v>317</v>
      </c>
      <c r="Y97" s="160" t="s">
        <v>918</v>
      </c>
      <c r="Z97" s="160" t="s">
        <v>912</v>
      </c>
      <c r="AA97" s="160" t="s">
        <v>1015</v>
      </c>
      <c r="AB97" s="160" t="s">
        <v>333</v>
      </c>
      <c r="AC97" s="160" t="s">
        <v>1016</v>
      </c>
      <c r="AE97" s="161" t="s">
        <v>317</v>
      </c>
      <c r="AF97" s="160" t="s">
        <v>922</v>
      </c>
      <c r="AG97" s="160" t="s">
        <v>1009</v>
      </c>
      <c r="AH97" s="160" t="s">
        <v>1017</v>
      </c>
      <c r="AI97" s="160" t="s">
        <v>336</v>
      </c>
      <c r="AJ97" s="160" t="s">
        <v>1018</v>
      </c>
      <c r="AL97" s="161" t="s">
        <v>317</v>
      </c>
      <c r="AM97" s="160" t="s">
        <v>338</v>
      </c>
      <c r="AN97" s="160" t="s">
        <v>658</v>
      </c>
      <c r="AO97" s="160" t="s">
        <v>1014</v>
      </c>
      <c r="AP97" s="160" t="s">
        <v>336</v>
      </c>
      <c r="AQ97" s="160" t="s">
        <v>1019</v>
      </c>
      <c r="AR97" s="172"/>
      <c r="AT97" s="161" t="s">
        <v>317</v>
      </c>
      <c r="AU97" s="160" t="s">
        <v>927</v>
      </c>
      <c r="AV97" s="160" t="s">
        <v>1020</v>
      </c>
      <c r="AW97" s="160" t="s">
        <v>913</v>
      </c>
      <c r="AX97" s="160" t="s">
        <v>333</v>
      </c>
      <c r="AY97" s="160" t="s">
        <v>1021</v>
      </c>
      <c r="BA97" s="161" t="s">
        <v>317</v>
      </c>
      <c r="BB97" s="160" t="s">
        <v>931</v>
      </c>
      <c r="BC97" s="160" t="s">
        <v>1022</v>
      </c>
      <c r="BD97" s="160" t="s">
        <v>913</v>
      </c>
      <c r="BE97" s="160" t="s">
        <v>336</v>
      </c>
      <c r="BF97" s="160" t="s">
        <v>1023</v>
      </c>
      <c r="BH97" s="161" t="s">
        <v>317</v>
      </c>
      <c r="BI97" s="160" t="s">
        <v>338</v>
      </c>
      <c r="BJ97" s="160" t="s">
        <v>658</v>
      </c>
      <c r="BK97" s="160" t="s">
        <v>1014</v>
      </c>
      <c r="BL97" s="160" t="s">
        <v>336</v>
      </c>
      <c r="BM97" s="160" t="s">
        <v>1019</v>
      </c>
    </row>
    <row r="98" spans="1:65">
      <c r="B98" s="161" t="s">
        <v>349</v>
      </c>
      <c r="C98" s="160" t="s">
        <v>350</v>
      </c>
      <c r="D98" s="160" t="s">
        <v>946</v>
      </c>
      <c r="E98" s="160" t="s">
        <v>936</v>
      </c>
      <c r="F98" s="160" t="s">
        <v>353</v>
      </c>
      <c r="G98" s="160" t="s">
        <v>1024</v>
      </c>
      <c r="I98" s="161" t="s">
        <v>349</v>
      </c>
      <c r="J98" s="160" t="s">
        <v>355</v>
      </c>
      <c r="K98" s="160" t="s">
        <v>662</v>
      </c>
      <c r="L98" s="160" t="s">
        <v>939</v>
      </c>
      <c r="M98" s="160" t="s">
        <v>353</v>
      </c>
      <c r="N98" s="160" t="s">
        <v>1025</v>
      </c>
      <c r="P98" s="161" t="s">
        <v>349</v>
      </c>
      <c r="Q98" s="160" t="s">
        <v>355</v>
      </c>
      <c r="R98" s="160" t="s">
        <v>351</v>
      </c>
      <c r="S98" s="160" t="s">
        <v>939</v>
      </c>
      <c r="T98" s="160" t="s">
        <v>353</v>
      </c>
      <c r="U98" s="160" t="s">
        <v>942</v>
      </c>
      <c r="V98" s="172"/>
      <c r="X98" s="161" t="s">
        <v>349</v>
      </c>
      <c r="Y98" s="160" t="s">
        <v>360</v>
      </c>
      <c r="Z98" s="160" t="s">
        <v>1026</v>
      </c>
      <c r="AA98" s="160" t="s">
        <v>944</v>
      </c>
      <c r="AB98" s="160" t="s">
        <v>362</v>
      </c>
      <c r="AC98" s="160" t="s">
        <v>1027</v>
      </c>
      <c r="AE98" s="161" t="s">
        <v>349</v>
      </c>
      <c r="AF98" s="160" t="s">
        <v>364</v>
      </c>
      <c r="AG98" s="160" t="s">
        <v>666</v>
      </c>
      <c r="AH98" s="160" t="s">
        <v>936</v>
      </c>
      <c r="AI98" s="160" t="s">
        <v>365</v>
      </c>
      <c r="AJ98" s="160" t="s">
        <v>1028</v>
      </c>
      <c r="AL98" s="161" t="s">
        <v>349</v>
      </c>
      <c r="AM98" s="160" t="s">
        <v>355</v>
      </c>
      <c r="AN98" s="160" t="s">
        <v>351</v>
      </c>
      <c r="AO98" s="160" t="s">
        <v>939</v>
      </c>
      <c r="AP98" s="160" t="s">
        <v>365</v>
      </c>
      <c r="AQ98" s="160" t="s">
        <v>940</v>
      </c>
      <c r="AR98" s="172"/>
      <c r="AT98" s="161" t="s">
        <v>349</v>
      </c>
      <c r="AU98" s="160" t="s">
        <v>368</v>
      </c>
      <c r="AV98" s="160" t="s">
        <v>935</v>
      </c>
      <c r="AW98" s="160" t="s">
        <v>1029</v>
      </c>
      <c r="AX98" s="160" t="s">
        <v>362</v>
      </c>
      <c r="AY98" s="160" t="s">
        <v>1030</v>
      </c>
      <c r="BA98" s="161" t="s">
        <v>349</v>
      </c>
      <c r="BB98" s="160" t="s">
        <v>371</v>
      </c>
      <c r="BC98" s="160" t="s">
        <v>938</v>
      </c>
      <c r="BD98" s="160" t="s">
        <v>936</v>
      </c>
      <c r="BE98" s="160" t="s">
        <v>365</v>
      </c>
      <c r="BF98" s="160" t="s">
        <v>1031</v>
      </c>
      <c r="BH98" s="161" t="s">
        <v>349</v>
      </c>
      <c r="BI98" s="160" t="s">
        <v>355</v>
      </c>
      <c r="BJ98" s="160" t="s">
        <v>351</v>
      </c>
      <c r="BK98" s="160" t="s">
        <v>939</v>
      </c>
      <c r="BL98" s="160" t="s">
        <v>365</v>
      </c>
      <c r="BM98" s="160" t="s">
        <v>1032</v>
      </c>
    </row>
    <row r="99" spans="1:65">
      <c r="V99" s="172"/>
      <c r="AR99" s="172"/>
    </row>
    <row r="100" spans="1:65" ht="12" customHeight="1">
      <c r="A100" s="165" t="s">
        <v>1033</v>
      </c>
      <c r="B100" s="165"/>
      <c r="C100" s="166"/>
      <c r="D100" s="166"/>
      <c r="E100" s="166"/>
      <c r="F100" s="166"/>
      <c r="G100" s="166"/>
      <c r="H100" s="166"/>
      <c r="I100" s="167"/>
      <c r="J100" s="166"/>
      <c r="K100" s="166"/>
      <c r="L100" s="166"/>
      <c r="M100" s="166"/>
      <c r="N100" s="166"/>
      <c r="O100" s="166"/>
      <c r="P100" s="167"/>
      <c r="Q100" s="166"/>
      <c r="R100" s="166"/>
      <c r="S100" s="166"/>
      <c r="T100" s="166"/>
      <c r="U100" s="166"/>
      <c r="V100" s="168"/>
      <c r="W100" s="166"/>
      <c r="X100" s="167"/>
      <c r="Y100" s="166"/>
      <c r="Z100" s="166"/>
      <c r="AA100" s="166"/>
      <c r="AB100" s="166"/>
      <c r="AC100" s="166"/>
      <c r="AD100" s="166"/>
      <c r="AE100" s="167"/>
      <c r="AF100" s="166"/>
      <c r="AG100" s="166"/>
      <c r="AH100" s="166"/>
      <c r="AI100" s="166"/>
      <c r="AJ100" s="166"/>
      <c r="AK100" s="166"/>
      <c r="AL100" s="167"/>
      <c r="AM100" s="166"/>
      <c r="AN100" s="166"/>
      <c r="AO100" s="166"/>
      <c r="AP100" s="166"/>
      <c r="AQ100" s="166"/>
      <c r="AR100" s="168"/>
      <c r="AS100" s="166"/>
      <c r="AT100" s="167"/>
      <c r="AU100" s="166"/>
      <c r="AV100" s="166"/>
      <c r="AW100" s="166"/>
      <c r="AX100" s="166"/>
      <c r="AY100" s="166"/>
      <c r="AZ100" s="166"/>
      <c r="BA100" s="167"/>
      <c r="BB100" s="166"/>
      <c r="BC100" s="166"/>
      <c r="BD100" s="166"/>
      <c r="BE100" s="166"/>
      <c r="BF100" s="166"/>
      <c r="BG100" s="166"/>
      <c r="BH100" s="167"/>
      <c r="BI100" s="166"/>
      <c r="BJ100" s="166"/>
      <c r="BK100" s="166"/>
      <c r="BL100" s="166"/>
      <c r="BM100" s="166"/>
    </row>
    <row r="101" spans="1:65" s="170" customFormat="1">
      <c r="A101" s="169"/>
      <c r="B101" s="169" t="s">
        <v>1034</v>
      </c>
      <c r="I101" s="169" t="s">
        <v>1035</v>
      </c>
      <c r="P101" s="169" t="s">
        <v>1036</v>
      </c>
      <c r="V101" s="171"/>
      <c r="X101" s="169" t="s">
        <v>1037</v>
      </c>
      <c r="AE101" s="169" t="s">
        <v>1038</v>
      </c>
      <c r="AL101" s="169" t="s">
        <v>1039</v>
      </c>
      <c r="AR101" s="171"/>
      <c r="AT101" s="169" t="s">
        <v>1040</v>
      </c>
      <c r="BA101" s="169" t="s">
        <v>1041</v>
      </c>
      <c r="BH101" s="169" t="s">
        <v>1042</v>
      </c>
    </row>
    <row r="102" spans="1:65">
      <c r="C102" s="160" t="s">
        <v>243</v>
      </c>
      <c r="D102" s="160" t="s">
        <v>23</v>
      </c>
      <c r="E102" s="160" t="s">
        <v>24</v>
      </c>
      <c r="F102" s="160" t="s">
        <v>244</v>
      </c>
      <c r="G102" s="160" t="s">
        <v>26</v>
      </c>
      <c r="J102" s="160" t="s">
        <v>243</v>
      </c>
      <c r="K102" s="160" t="s">
        <v>23</v>
      </c>
      <c r="L102" s="160" t="s">
        <v>24</v>
      </c>
      <c r="M102" s="160" t="s">
        <v>244</v>
      </c>
      <c r="N102" s="160" t="s">
        <v>26</v>
      </c>
      <c r="Q102" s="160" t="s">
        <v>243</v>
      </c>
      <c r="R102" s="160" t="s">
        <v>23</v>
      </c>
      <c r="S102" s="160" t="s">
        <v>24</v>
      </c>
      <c r="T102" s="160" t="s">
        <v>244</v>
      </c>
      <c r="U102" s="160" t="s">
        <v>26</v>
      </c>
      <c r="V102" s="172"/>
      <c r="Y102" s="160" t="s">
        <v>243</v>
      </c>
      <c r="Z102" s="160" t="s">
        <v>23</v>
      </c>
      <c r="AA102" s="160" t="s">
        <v>24</v>
      </c>
      <c r="AB102" s="160" t="s">
        <v>244</v>
      </c>
      <c r="AC102" s="160" t="s">
        <v>26</v>
      </c>
      <c r="AF102" s="160" t="s">
        <v>243</v>
      </c>
      <c r="AG102" s="160" t="s">
        <v>23</v>
      </c>
      <c r="AH102" s="160" t="s">
        <v>24</v>
      </c>
      <c r="AI102" s="160" t="s">
        <v>244</v>
      </c>
      <c r="AJ102" s="160" t="s">
        <v>26</v>
      </c>
      <c r="AM102" s="160" t="s">
        <v>243</v>
      </c>
      <c r="AN102" s="160" t="s">
        <v>23</v>
      </c>
      <c r="AO102" s="160" t="s">
        <v>24</v>
      </c>
      <c r="AP102" s="160" t="s">
        <v>244</v>
      </c>
      <c r="AQ102" s="160" t="s">
        <v>26</v>
      </c>
      <c r="AR102" s="172"/>
      <c r="AU102" s="160" t="s">
        <v>243</v>
      </c>
      <c r="AV102" s="160" t="s">
        <v>23</v>
      </c>
      <c r="AW102" s="160" t="s">
        <v>24</v>
      </c>
      <c r="AX102" s="160" t="s">
        <v>244</v>
      </c>
      <c r="AY102" s="160" t="s">
        <v>26</v>
      </c>
      <c r="BB102" s="160" t="s">
        <v>243</v>
      </c>
      <c r="BC102" s="160" t="s">
        <v>23</v>
      </c>
      <c r="BD102" s="160" t="s">
        <v>24</v>
      </c>
      <c r="BE102" s="160" t="s">
        <v>244</v>
      </c>
      <c r="BF102" s="160" t="s">
        <v>26</v>
      </c>
      <c r="BI102" s="160" t="s">
        <v>243</v>
      </c>
      <c r="BJ102" s="160" t="s">
        <v>23</v>
      </c>
      <c r="BK102" s="160" t="s">
        <v>24</v>
      </c>
      <c r="BL102" s="160" t="s">
        <v>244</v>
      </c>
      <c r="BM102" s="160" t="s">
        <v>26</v>
      </c>
    </row>
    <row r="103" spans="1:65">
      <c r="B103" s="161" t="s">
        <v>26</v>
      </c>
      <c r="C103" s="160" t="s">
        <v>1043</v>
      </c>
      <c r="D103" s="160" t="s">
        <v>1044</v>
      </c>
      <c r="E103" s="160" t="s">
        <v>1045</v>
      </c>
      <c r="F103" s="160" t="s">
        <v>248</v>
      </c>
      <c r="G103" s="160" t="s">
        <v>1046</v>
      </c>
      <c r="I103" s="161" t="s">
        <v>26</v>
      </c>
      <c r="J103" s="160" t="s">
        <v>512</v>
      </c>
      <c r="K103" s="160" t="s">
        <v>1047</v>
      </c>
      <c r="L103" s="160" t="s">
        <v>1048</v>
      </c>
      <c r="M103" s="160" t="s">
        <v>253</v>
      </c>
      <c r="N103" s="160" t="s">
        <v>1049</v>
      </c>
      <c r="P103" s="161" t="s">
        <v>26</v>
      </c>
      <c r="Q103" s="160" t="s">
        <v>1050</v>
      </c>
      <c r="R103" s="160" t="s">
        <v>1051</v>
      </c>
      <c r="S103" s="160" t="s">
        <v>1052</v>
      </c>
      <c r="T103" s="160" t="s">
        <v>253</v>
      </c>
      <c r="U103" s="160" t="s">
        <v>1053</v>
      </c>
      <c r="V103" s="172"/>
      <c r="X103" s="161" t="s">
        <v>26</v>
      </c>
      <c r="Y103" s="160" t="s">
        <v>1054</v>
      </c>
      <c r="Z103" s="160" t="s">
        <v>1055</v>
      </c>
      <c r="AA103" s="160" t="s">
        <v>1056</v>
      </c>
      <c r="AB103" s="160" t="s">
        <v>262</v>
      </c>
      <c r="AC103" s="160" t="s">
        <v>1057</v>
      </c>
      <c r="AE103" s="161" t="s">
        <v>26</v>
      </c>
      <c r="AF103" s="160" t="s">
        <v>1058</v>
      </c>
      <c r="AG103" s="160" t="s">
        <v>1059</v>
      </c>
      <c r="AH103" s="160" t="s">
        <v>1060</v>
      </c>
      <c r="AI103" s="160" t="s">
        <v>267</v>
      </c>
      <c r="AJ103" s="160" t="s">
        <v>1061</v>
      </c>
      <c r="AL103" s="161" t="s">
        <v>26</v>
      </c>
      <c r="AM103" s="160" t="s">
        <v>1062</v>
      </c>
      <c r="AN103" s="160" t="s">
        <v>1051</v>
      </c>
      <c r="AO103" s="160" t="s">
        <v>1052</v>
      </c>
      <c r="AP103" s="160" t="s">
        <v>267</v>
      </c>
      <c r="AQ103" s="160" t="s">
        <v>1063</v>
      </c>
      <c r="AR103" s="172"/>
      <c r="AT103" s="161" t="s">
        <v>26</v>
      </c>
      <c r="AU103" s="160" t="s">
        <v>1064</v>
      </c>
      <c r="AV103" s="160" t="s">
        <v>1065</v>
      </c>
      <c r="AW103" s="160" t="s">
        <v>1066</v>
      </c>
      <c r="AX103" s="160" t="s">
        <v>262</v>
      </c>
      <c r="AY103" s="160" t="s">
        <v>1067</v>
      </c>
      <c r="BA103" s="161" t="s">
        <v>26</v>
      </c>
      <c r="BB103" s="160" t="s">
        <v>1068</v>
      </c>
      <c r="BC103" s="160" t="s">
        <v>1069</v>
      </c>
      <c r="BD103" s="160" t="s">
        <v>1070</v>
      </c>
      <c r="BE103" s="160" t="s">
        <v>267</v>
      </c>
      <c r="BF103" s="160" t="s">
        <v>1071</v>
      </c>
      <c r="BH103" s="161" t="s">
        <v>26</v>
      </c>
      <c r="BI103" s="160" t="s">
        <v>315</v>
      </c>
      <c r="BJ103" s="160" t="s">
        <v>1051</v>
      </c>
      <c r="BK103" s="160" t="s">
        <v>1052</v>
      </c>
      <c r="BL103" s="160" t="s">
        <v>267</v>
      </c>
      <c r="BM103" s="160" t="s">
        <v>1072</v>
      </c>
    </row>
    <row r="104" spans="1:65">
      <c r="B104" s="161" t="s">
        <v>281</v>
      </c>
      <c r="C104" s="160" t="s">
        <v>1073</v>
      </c>
      <c r="D104" s="160" t="s">
        <v>1074</v>
      </c>
      <c r="E104" s="160" t="s">
        <v>1075</v>
      </c>
      <c r="F104" s="160" t="s">
        <v>285</v>
      </c>
      <c r="G104" s="160" t="s">
        <v>1076</v>
      </c>
      <c r="I104" s="161" t="s">
        <v>281</v>
      </c>
      <c r="J104" s="160" t="s">
        <v>537</v>
      </c>
      <c r="K104" s="160" t="s">
        <v>1077</v>
      </c>
      <c r="L104" s="160" t="s">
        <v>1078</v>
      </c>
      <c r="M104" s="160" t="s">
        <v>289</v>
      </c>
      <c r="N104" s="160" t="s">
        <v>1079</v>
      </c>
      <c r="P104" s="161" t="s">
        <v>281</v>
      </c>
      <c r="Q104" s="160" t="s">
        <v>1080</v>
      </c>
      <c r="R104" s="160" t="s">
        <v>1081</v>
      </c>
      <c r="S104" s="160" t="s">
        <v>1082</v>
      </c>
      <c r="T104" s="160" t="s">
        <v>289</v>
      </c>
      <c r="U104" s="160" t="s">
        <v>1083</v>
      </c>
      <c r="V104" s="172"/>
      <c r="X104" s="161" t="s">
        <v>281</v>
      </c>
      <c r="Y104" s="160" t="s">
        <v>1084</v>
      </c>
      <c r="Z104" s="160" t="s">
        <v>1085</v>
      </c>
      <c r="AA104" s="160" t="s">
        <v>1078</v>
      </c>
      <c r="AB104" s="160" t="s">
        <v>298</v>
      </c>
      <c r="AC104" s="160" t="s">
        <v>1086</v>
      </c>
      <c r="AE104" s="161" t="s">
        <v>281</v>
      </c>
      <c r="AF104" s="160" t="s">
        <v>1087</v>
      </c>
      <c r="AG104" s="160" t="s">
        <v>1088</v>
      </c>
      <c r="AH104" s="160" t="s">
        <v>1089</v>
      </c>
      <c r="AI104" s="160" t="s">
        <v>303</v>
      </c>
      <c r="AJ104" s="160" t="s">
        <v>1090</v>
      </c>
      <c r="AL104" s="161" t="s">
        <v>281</v>
      </c>
      <c r="AM104" s="160" t="s">
        <v>1091</v>
      </c>
      <c r="AN104" s="160" t="s">
        <v>1081</v>
      </c>
      <c r="AO104" s="160" t="s">
        <v>1082</v>
      </c>
      <c r="AP104" s="160" t="s">
        <v>303</v>
      </c>
      <c r="AQ104" s="160" t="s">
        <v>1092</v>
      </c>
      <c r="AR104" s="172"/>
      <c r="AT104" s="161" t="s">
        <v>281</v>
      </c>
      <c r="AU104" s="160" t="s">
        <v>1093</v>
      </c>
      <c r="AV104" s="160" t="s">
        <v>1094</v>
      </c>
      <c r="AW104" s="160" t="s">
        <v>1095</v>
      </c>
      <c r="AX104" s="160" t="s">
        <v>298</v>
      </c>
      <c r="AY104" s="160" t="s">
        <v>1096</v>
      </c>
      <c r="BA104" s="161" t="s">
        <v>281</v>
      </c>
      <c r="BB104" s="160" t="s">
        <v>1097</v>
      </c>
      <c r="BC104" s="160" t="s">
        <v>1098</v>
      </c>
      <c r="BD104" s="160" t="s">
        <v>1099</v>
      </c>
      <c r="BE104" s="160" t="s">
        <v>303</v>
      </c>
      <c r="BF104" s="160" t="s">
        <v>1100</v>
      </c>
      <c r="BH104" s="161" t="s">
        <v>281</v>
      </c>
      <c r="BI104" s="160" t="s">
        <v>1101</v>
      </c>
      <c r="BJ104" s="160" t="s">
        <v>1081</v>
      </c>
      <c r="BK104" s="160" t="s">
        <v>1082</v>
      </c>
      <c r="BL104" s="160" t="s">
        <v>303</v>
      </c>
      <c r="BM104" s="160" t="s">
        <v>1102</v>
      </c>
    </row>
    <row r="105" spans="1:65">
      <c r="B105" s="161" t="s">
        <v>317</v>
      </c>
      <c r="C105" s="160" t="s">
        <v>318</v>
      </c>
      <c r="D105" s="160" t="s">
        <v>423</v>
      </c>
      <c r="E105" s="160" t="s">
        <v>941</v>
      </c>
      <c r="F105" s="160" t="s">
        <v>321</v>
      </c>
      <c r="G105" s="160" t="s">
        <v>1103</v>
      </c>
      <c r="I105" s="161" t="s">
        <v>317</v>
      </c>
      <c r="J105" s="160" t="s">
        <v>347</v>
      </c>
      <c r="K105" s="160" t="s">
        <v>323</v>
      </c>
      <c r="L105" s="160" t="s">
        <v>941</v>
      </c>
      <c r="M105" s="160" t="s">
        <v>324</v>
      </c>
      <c r="N105" s="160" t="s">
        <v>322</v>
      </c>
      <c r="P105" s="161" t="s">
        <v>317</v>
      </c>
      <c r="Q105" s="160" t="s">
        <v>326</v>
      </c>
      <c r="R105" s="160" t="s">
        <v>327</v>
      </c>
      <c r="S105" s="160" t="s">
        <v>460</v>
      </c>
      <c r="T105" s="160" t="s">
        <v>324</v>
      </c>
      <c r="U105" s="160" t="s">
        <v>1104</v>
      </c>
      <c r="V105" s="172"/>
      <c r="X105" s="161" t="s">
        <v>317</v>
      </c>
      <c r="Y105" s="160" t="s">
        <v>330</v>
      </c>
      <c r="Z105" s="160" t="s">
        <v>658</v>
      </c>
      <c r="AA105" s="160" t="s">
        <v>941</v>
      </c>
      <c r="AB105" s="160" t="s">
        <v>333</v>
      </c>
      <c r="AC105" s="160" t="s">
        <v>1105</v>
      </c>
      <c r="AE105" s="161" t="s">
        <v>317</v>
      </c>
      <c r="AF105" s="160" t="s">
        <v>922</v>
      </c>
      <c r="AG105" s="160" t="s">
        <v>331</v>
      </c>
      <c r="AH105" s="160" t="s">
        <v>941</v>
      </c>
      <c r="AI105" s="160" t="s">
        <v>336</v>
      </c>
      <c r="AJ105" s="160" t="s">
        <v>1106</v>
      </c>
      <c r="AL105" s="161" t="s">
        <v>317</v>
      </c>
      <c r="AM105" s="160" t="s">
        <v>338</v>
      </c>
      <c r="AN105" s="160" t="s">
        <v>327</v>
      </c>
      <c r="AO105" s="160" t="s">
        <v>460</v>
      </c>
      <c r="AP105" s="160" t="s">
        <v>336</v>
      </c>
      <c r="AQ105" s="160" t="s">
        <v>1107</v>
      </c>
      <c r="AR105" s="172"/>
      <c r="AT105" s="161" t="s">
        <v>317</v>
      </c>
      <c r="AU105" s="160" t="s">
        <v>1108</v>
      </c>
      <c r="AV105" s="160" t="s">
        <v>935</v>
      </c>
      <c r="AW105" s="160" t="s">
        <v>941</v>
      </c>
      <c r="AX105" s="160" t="s">
        <v>333</v>
      </c>
      <c r="AY105" s="160" t="s">
        <v>1109</v>
      </c>
      <c r="BA105" s="161" t="s">
        <v>317</v>
      </c>
      <c r="BB105" s="160" t="s">
        <v>931</v>
      </c>
      <c r="BC105" s="160" t="s">
        <v>946</v>
      </c>
      <c r="BD105" s="160" t="s">
        <v>1014</v>
      </c>
      <c r="BE105" s="160" t="s">
        <v>336</v>
      </c>
      <c r="BF105" s="160" t="s">
        <v>1110</v>
      </c>
      <c r="BH105" s="161" t="s">
        <v>317</v>
      </c>
      <c r="BI105" s="160" t="s">
        <v>1111</v>
      </c>
      <c r="BJ105" s="160" t="s">
        <v>327</v>
      </c>
      <c r="BK105" s="160" t="s">
        <v>460</v>
      </c>
      <c r="BL105" s="160" t="s">
        <v>336</v>
      </c>
      <c r="BM105" s="160" t="s">
        <v>1112</v>
      </c>
    </row>
    <row r="106" spans="1:65">
      <c r="B106" s="161" t="s">
        <v>349</v>
      </c>
      <c r="C106" s="160" t="s">
        <v>350</v>
      </c>
      <c r="D106" s="160" t="s">
        <v>666</v>
      </c>
      <c r="E106" s="160" t="s">
        <v>936</v>
      </c>
      <c r="F106" s="160" t="s">
        <v>353</v>
      </c>
      <c r="G106" s="160" t="s">
        <v>1113</v>
      </c>
      <c r="I106" s="161" t="s">
        <v>349</v>
      </c>
      <c r="J106" s="160" t="s">
        <v>355</v>
      </c>
      <c r="K106" s="160" t="s">
        <v>327</v>
      </c>
      <c r="L106" s="160" t="s">
        <v>939</v>
      </c>
      <c r="M106" s="160" t="s">
        <v>353</v>
      </c>
      <c r="N106" s="160" t="s">
        <v>1114</v>
      </c>
      <c r="P106" s="161" t="s">
        <v>349</v>
      </c>
      <c r="Q106" s="160" t="s">
        <v>355</v>
      </c>
      <c r="R106" s="160" t="s">
        <v>356</v>
      </c>
      <c r="S106" s="160" t="s">
        <v>1014</v>
      </c>
      <c r="T106" s="160" t="s">
        <v>353</v>
      </c>
      <c r="U106" s="160" t="s">
        <v>942</v>
      </c>
      <c r="V106" s="172"/>
      <c r="X106" s="161" t="s">
        <v>349</v>
      </c>
      <c r="Y106" s="160" t="s">
        <v>360</v>
      </c>
      <c r="Z106" s="160" t="s">
        <v>1115</v>
      </c>
      <c r="AA106" s="160" t="s">
        <v>1116</v>
      </c>
      <c r="AB106" s="160" t="s">
        <v>362</v>
      </c>
      <c r="AC106" s="160" t="s">
        <v>1117</v>
      </c>
      <c r="AE106" s="161" t="s">
        <v>349</v>
      </c>
      <c r="AF106" s="160" t="s">
        <v>364</v>
      </c>
      <c r="AG106" s="160" t="s">
        <v>327</v>
      </c>
      <c r="AH106" s="160" t="s">
        <v>936</v>
      </c>
      <c r="AI106" s="160" t="s">
        <v>365</v>
      </c>
      <c r="AJ106" s="160" t="s">
        <v>1118</v>
      </c>
      <c r="AL106" s="161" t="s">
        <v>349</v>
      </c>
      <c r="AM106" s="160" t="s">
        <v>355</v>
      </c>
      <c r="AN106" s="160" t="s">
        <v>356</v>
      </c>
      <c r="AO106" s="160" t="s">
        <v>1014</v>
      </c>
      <c r="AP106" s="160" t="s">
        <v>365</v>
      </c>
      <c r="AQ106" s="160" t="s">
        <v>1119</v>
      </c>
      <c r="AR106" s="172"/>
      <c r="AT106" s="161" t="s">
        <v>349</v>
      </c>
      <c r="AU106" s="160" t="s">
        <v>368</v>
      </c>
      <c r="AV106" s="160" t="s">
        <v>946</v>
      </c>
      <c r="AW106" s="160" t="s">
        <v>944</v>
      </c>
      <c r="AX106" s="160" t="s">
        <v>362</v>
      </c>
      <c r="AY106" s="160" t="s">
        <v>1120</v>
      </c>
      <c r="BA106" s="161" t="s">
        <v>349</v>
      </c>
      <c r="BB106" s="160" t="s">
        <v>371</v>
      </c>
      <c r="BC106" s="160" t="s">
        <v>662</v>
      </c>
      <c r="BD106" s="160" t="s">
        <v>936</v>
      </c>
      <c r="BE106" s="160" t="s">
        <v>365</v>
      </c>
      <c r="BF106" s="160" t="s">
        <v>1028</v>
      </c>
      <c r="BH106" s="161" t="s">
        <v>349</v>
      </c>
      <c r="BI106" s="160" t="s">
        <v>355</v>
      </c>
      <c r="BJ106" s="160" t="s">
        <v>356</v>
      </c>
      <c r="BK106" s="160" t="s">
        <v>1014</v>
      </c>
      <c r="BL106" s="160" t="s">
        <v>365</v>
      </c>
      <c r="BM106" s="160" t="s">
        <v>1119</v>
      </c>
    </row>
    <row r="107" spans="1:65">
      <c r="V107" s="172"/>
      <c r="AR107" s="172"/>
    </row>
    <row r="108" spans="1:65" ht="12" customHeight="1">
      <c r="A108" s="165" t="s">
        <v>1121</v>
      </c>
      <c r="B108" s="165"/>
      <c r="C108" s="166"/>
      <c r="D108" s="166"/>
      <c r="E108" s="166"/>
      <c r="F108" s="166"/>
      <c r="G108" s="166"/>
      <c r="H108" s="166"/>
      <c r="I108" s="167"/>
      <c r="J108" s="166"/>
      <c r="K108" s="166"/>
      <c r="L108" s="166"/>
      <c r="M108" s="166"/>
      <c r="N108" s="166"/>
      <c r="O108" s="166"/>
      <c r="P108" s="167"/>
      <c r="Q108" s="166"/>
      <c r="R108" s="166"/>
      <c r="S108" s="166"/>
      <c r="T108" s="166"/>
      <c r="U108" s="166"/>
      <c r="V108" s="168"/>
      <c r="W108" s="166"/>
      <c r="X108" s="167"/>
      <c r="Y108" s="166"/>
      <c r="Z108" s="166"/>
      <c r="AA108" s="166"/>
      <c r="AB108" s="166"/>
      <c r="AC108" s="166"/>
      <c r="AD108" s="166"/>
      <c r="AE108" s="167"/>
      <c r="AF108" s="166"/>
      <c r="AG108" s="166"/>
      <c r="AH108" s="166"/>
      <c r="AI108" s="166"/>
      <c r="AJ108" s="166"/>
      <c r="AK108" s="166"/>
      <c r="AL108" s="167"/>
      <c r="AM108" s="166"/>
      <c r="AN108" s="166"/>
      <c r="AO108" s="166"/>
      <c r="AP108" s="166"/>
      <c r="AQ108" s="166"/>
      <c r="AR108" s="168"/>
      <c r="AS108" s="166"/>
      <c r="AT108" s="167"/>
      <c r="AU108" s="166"/>
      <c r="AV108" s="166"/>
      <c r="AW108" s="166"/>
      <c r="AX108" s="166"/>
      <c r="AY108" s="166"/>
      <c r="AZ108" s="166"/>
      <c r="BA108" s="167"/>
      <c r="BB108" s="166"/>
      <c r="BC108" s="166"/>
      <c r="BD108" s="166"/>
      <c r="BE108" s="166"/>
      <c r="BF108" s="166"/>
      <c r="BG108" s="166"/>
      <c r="BH108" s="167"/>
      <c r="BI108" s="166"/>
      <c r="BJ108" s="166"/>
      <c r="BK108" s="166"/>
      <c r="BL108" s="166"/>
      <c r="BM108" s="166"/>
    </row>
    <row r="109" spans="1:65" s="170" customFormat="1">
      <c r="A109" s="169"/>
      <c r="B109" s="169" t="s">
        <v>1122</v>
      </c>
      <c r="I109" s="169" t="s">
        <v>1123</v>
      </c>
      <c r="P109" s="169" t="s">
        <v>1124</v>
      </c>
      <c r="V109" s="171"/>
      <c r="X109" s="169" t="s">
        <v>1125</v>
      </c>
      <c r="AE109" s="169" t="s">
        <v>1126</v>
      </c>
      <c r="AL109" s="169" t="s">
        <v>1127</v>
      </c>
      <c r="AR109" s="171"/>
      <c r="AT109" s="169" t="s">
        <v>1128</v>
      </c>
      <c r="BA109" s="169" t="s">
        <v>1129</v>
      </c>
      <c r="BH109" s="169" t="s">
        <v>1130</v>
      </c>
    </row>
    <row r="110" spans="1:65">
      <c r="C110" s="160" t="s">
        <v>243</v>
      </c>
      <c r="D110" s="160" t="s">
        <v>23</v>
      </c>
      <c r="E110" s="160" t="s">
        <v>24</v>
      </c>
      <c r="F110" s="160" t="s">
        <v>244</v>
      </c>
      <c r="G110" s="160" t="s">
        <v>26</v>
      </c>
      <c r="J110" s="160" t="s">
        <v>243</v>
      </c>
      <c r="K110" s="160" t="s">
        <v>23</v>
      </c>
      <c r="L110" s="160" t="s">
        <v>24</v>
      </c>
      <c r="M110" s="160" t="s">
        <v>244</v>
      </c>
      <c r="N110" s="160" t="s">
        <v>26</v>
      </c>
      <c r="Q110" s="160" t="s">
        <v>243</v>
      </c>
      <c r="R110" s="160" t="s">
        <v>23</v>
      </c>
      <c r="S110" s="160" t="s">
        <v>24</v>
      </c>
      <c r="T110" s="160" t="s">
        <v>244</v>
      </c>
      <c r="U110" s="160" t="s">
        <v>26</v>
      </c>
      <c r="V110" s="172"/>
      <c r="Y110" s="160" t="s">
        <v>243</v>
      </c>
      <c r="Z110" s="160" t="s">
        <v>23</v>
      </c>
      <c r="AA110" s="160" t="s">
        <v>24</v>
      </c>
      <c r="AB110" s="160" t="s">
        <v>244</v>
      </c>
      <c r="AC110" s="160" t="s">
        <v>26</v>
      </c>
      <c r="AF110" s="160" t="s">
        <v>243</v>
      </c>
      <c r="AG110" s="160" t="s">
        <v>23</v>
      </c>
      <c r="AH110" s="160" t="s">
        <v>24</v>
      </c>
      <c r="AI110" s="160" t="s">
        <v>244</v>
      </c>
      <c r="AJ110" s="160" t="s">
        <v>26</v>
      </c>
      <c r="AM110" s="160" t="s">
        <v>243</v>
      </c>
      <c r="AN110" s="160" t="s">
        <v>23</v>
      </c>
      <c r="AO110" s="160" t="s">
        <v>24</v>
      </c>
      <c r="AP110" s="160" t="s">
        <v>244</v>
      </c>
      <c r="AQ110" s="160" t="s">
        <v>26</v>
      </c>
      <c r="AR110" s="172"/>
      <c r="AU110" s="160" t="s">
        <v>243</v>
      </c>
      <c r="AV110" s="160" t="s">
        <v>23</v>
      </c>
      <c r="AW110" s="160" t="s">
        <v>24</v>
      </c>
      <c r="AX110" s="160" t="s">
        <v>244</v>
      </c>
      <c r="AY110" s="160" t="s">
        <v>26</v>
      </c>
      <c r="BB110" s="160" t="s">
        <v>243</v>
      </c>
      <c r="BC110" s="160" t="s">
        <v>23</v>
      </c>
      <c r="BD110" s="160" t="s">
        <v>24</v>
      </c>
      <c r="BE110" s="160" t="s">
        <v>244</v>
      </c>
      <c r="BF110" s="160" t="s">
        <v>26</v>
      </c>
      <c r="BI110" s="160" t="s">
        <v>243</v>
      </c>
      <c r="BJ110" s="160" t="s">
        <v>23</v>
      </c>
      <c r="BK110" s="160" t="s">
        <v>24</v>
      </c>
      <c r="BL110" s="160" t="s">
        <v>244</v>
      </c>
      <c r="BM110" s="160" t="s">
        <v>26</v>
      </c>
    </row>
    <row r="111" spans="1:65">
      <c r="B111" s="161" t="s">
        <v>26</v>
      </c>
      <c r="C111" s="160" t="s">
        <v>1131</v>
      </c>
      <c r="D111" s="160" t="s">
        <v>1132</v>
      </c>
      <c r="E111" s="160" t="s">
        <v>1133</v>
      </c>
      <c r="F111" s="160" t="s">
        <v>248</v>
      </c>
      <c r="G111" s="160" t="s">
        <v>1134</v>
      </c>
      <c r="I111" s="161" t="s">
        <v>26</v>
      </c>
      <c r="J111" s="160" t="s">
        <v>1135</v>
      </c>
      <c r="K111" s="160" t="s">
        <v>1136</v>
      </c>
      <c r="L111" s="160" t="s">
        <v>1137</v>
      </c>
      <c r="M111" s="160" t="s">
        <v>253</v>
      </c>
      <c r="N111" s="160" t="s">
        <v>1138</v>
      </c>
      <c r="P111" s="161" t="s">
        <v>26</v>
      </c>
      <c r="Q111" s="160" t="s">
        <v>855</v>
      </c>
      <c r="R111" s="160" t="s">
        <v>1139</v>
      </c>
      <c r="S111" s="160" t="s">
        <v>1140</v>
      </c>
      <c r="T111" s="160" t="s">
        <v>253</v>
      </c>
      <c r="U111" s="160" t="s">
        <v>1141</v>
      </c>
      <c r="V111" s="172"/>
      <c r="X111" s="161" t="s">
        <v>26</v>
      </c>
      <c r="Y111" s="160" t="s">
        <v>1142</v>
      </c>
      <c r="Z111" s="160" t="s">
        <v>1143</v>
      </c>
      <c r="AA111" s="160" t="s">
        <v>1144</v>
      </c>
      <c r="AB111" s="160" t="s">
        <v>262</v>
      </c>
      <c r="AC111" s="160" t="s">
        <v>1145</v>
      </c>
      <c r="AE111" s="161" t="s">
        <v>26</v>
      </c>
      <c r="AF111" s="160" t="s">
        <v>1146</v>
      </c>
      <c r="AG111" s="160" t="s">
        <v>1147</v>
      </c>
      <c r="AH111" s="160" t="s">
        <v>1148</v>
      </c>
      <c r="AI111" s="160" t="s">
        <v>267</v>
      </c>
      <c r="AJ111" s="160" t="s">
        <v>1149</v>
      </c>
      <c r="AL111" s="161" t="s">
        <v>26</v>
      </c>
      <c r="AM111" s="160" t="s">
        <v>1150</v>
      </c>
      <c r="AN111" s="160" t="s">
        <v>1139</v>
      </c>
      <c r="AO111" s="160" t="s">
        <v>1140</v>
      </c>
      <c r="AP111" s="160" t="s">
        <v>267</v>
      </c>
      <c r="AQ111" s="160" t="s">
        <v>1151</v>
      </c>
      <c r="AR111" s="172"/>
      <c r="AT111" s="161" t="s">
        <v>26</v>
      </c>
      <c r="AU111" s="160" t="s">
        <v>1152</v>
      </c>
      <c r="AV111" s="160" t="s">
        <v>1153</v>
      </c>
      <c r="AW111" s="160" t="s">
        <v>1154</v>
      </c>
      <c r="AX111" s="160" t="s">
        <v>262</v>
      </c>
      <c r="AY111" s="160" t="s">
        <v>1155</v>
      </c>
      <c r="BA111" s="161" t="s">
        <v>26</v>
      </c>
      <c r="BB111" s="160" t="s">
        <v>873</v>
      </c>
      <c r="BC111" s="160" t="s">
        <v>1156</v>
      </c>
      <c r="BD111" s="160" t="s">
        <v>1157</v>
      </c>
      <c r="BE111" s="160" t="s">
        <v>267</v>
      </c>
      <c r="BF111" s="160" t="s">
        <v>1158</v>
      </c>
      <c r="BH111" s="161" t="s">
        <v>26</v>
      </c>
      <c r="BI111" s="160" t="s">
        <v>1159</v>
      </c>
      <c r="BJ111" s="160" t="s">
        <v>1139</v>
      </c>
      <c r="BK111" s="160" t="s">
        <v>1140</v>
      </c>
      <c r="BL111" s="160" t="s">
        <v>267</v>
      </c>
      <c r="BM111" s="160" t="s">
        <v>1160</v>
      </c>
    </row>
    <row r="112" spans="1:65">
      <c r="B112" s="161" t="s">
        <v>281</v>
      </c>
      <c r="C112" s="160" t="s">
        <v>1161</v>
      </c>
      <c r="D112" s="160" t="s">
        <v>1162</v>
      </c>
      <c r="E112" s="160" t="s">
        <v>1140</v>
      </c>
      <c r="F112" s="160" t="s">
        <v>285</v>
      </c>
      <c r="G112" s="160" t="s">
        <v>1163</v>
      </c>
      <c r="I112" s="161" t="s">
        <v>281</v>
      </c>
      <c r="J112" s="160" t="s">
        <v>652</v>
      </c>
      <c r="K112" s="160" t="s">
        <v>1164</v>
      </c>
      <c r="L112" s="160" t="s">
        <v>1165</v>
      </c>
      <c r="M112" s="160" t="s">
        <v>289</v>
      </c>
      <c r="N112" s="160" t="s">
        <v>1166</v>
      </c>
      <c r="P112" s="161" t="s">
        <v>281</v>
      </c>
      <c r="Q112" s="160" t="s">
        <v>885</v>
      </c>
      <c r="R112" s="160" t="s">
        <v>1167</v>
      </c>
      <c r="S112" s="160" t="s">
        <v>1168</v>
      </c>
      <c r="T112" s="160" t="s">
        <v>289</v>
      </c>
      <c r="U112" s="160" t="s">
        <v>1169</v>
      </c>
      <c r="V112" s="172"/>
      <c r="X112" s="161" t="s">
        <v>281</v>
      </c>
      <c r="Y112" s="160" t="s">
        <v>889</v>
      </c>
      <c r="Z112" s="160" t="s">
        <v>1170</v>
      </c>
      <c r="AA112" s="160" t="s">
        <v>1171</v>
      </c>
      <c r="AB112" s="160" t="s">
        <v>298</v>
      </c>
      <c r="AC112" s="160" t="s">
        <v>1172</v>
      </c>
      <c r="AE112" s="161" t="s">
        <v>281</v>
      </c>
      <c r="AF112" s="160" t="s">
        <v>893</v>
      </c>
      <c r="AG112" s="160" t="s">
        <v>1173</v>
      </c>
      <c r="AH112" s="160" t="s">
        <v>1174</v>
      </c>
      <c r="AI112" s="160" t="s">
        <v>303</v>
      </c>
      <c r="AJ112" s="160" t="s">
        <v>1175</v>
      </c>
      <c r="AL112" s="161" t="s">
        <v>281</v>
      </c>
      <c r="AM112" s="160" t="s">
        <v>897</v>
      </c>
      <c r="AN112" s="160" t="s">
        <v>1167</v>
      </c>
      <c r="AO112" s="160" t="s">
        <v>1168</v>
      </c>
      <c r="AP112" s="160" t="s">
        <v>303</v>
      </c>
      <c r="AQ112" s="160" t="s">
        <v>1176</v>
      </c>
      <c r="AR112" s="172"/>
      <c r="AT112" s="161" t="s">
        <v>281</v>
      </c>
      <c r="AU112" s="160" t="s">
        <v>899</v>
      </c>
      <c r="AV112" s="160" t="s">
        <v>1177</v>
      </c>
      <c r="AW112" s="160" t="s">
        <v>1178</v>
      </c>
      <c r="AX112" s="160" t="s">
        <v>298</v>
      </c>
      <c r="AY112" s="160" t="s">
        <v>1179</v>
      </c>
      <c r="BA112" s="161" t="s">
        <v>281</v>
      </c>
      <c r="BB112" s="160" t="s">
        <v>1180</v>
      </c>
      <c r="BC112" s="160" t="s">
        <v>1181</v>
      </c>
      <c r="BD112" s="160" t="s">
        <v>1182</v>
      </c>
      <c r="BE112" s="160" t="s">
        <v>303</v>
      </c>
      <c r="BF112" s="160" t="s">
        <v>1183</v>
      </c>
      <c r="BH112" s="161" t="s">
        <v>281</v>
      </c>
      <c r="BI112" s="160" t="s">
        <v>1184</v>
      </c>
      <c r="BJ112" s="160" t="s">
        <v>1167</v>
      </c>
      <c r="BK112" s="160" t="s">
        <v>1168</v>
      </c>
      <c r="BL112" s="160" t="s">
        <v>303</v>
      </c>
      <c r="BM112" s="160" t="s">
        <v>1185</v>
      </c>
    </row>
    <row r="113" spans="1:65">
      <c r="B113" s="161" t="s">
        <v>317</v>
      </c>
      <c r="C113" s="160" t="s">
        <v>318</v>
      </c>
      <c r="D113" s="160" t="s">
        <v>1186</v>
      </c>
      <c r="E113" s="160" t="s">
        <v>941</v>
      </c>
      <c r="F113" s="160" t="s">
        <v>321</v>
      </c>
      <c r="G113" s="160" t="s">
        <v>1187</v>
      </c>
      <c r="I113" s="161" t="s">
        <v>317</v>
      </c>
      <c r="J113" s="160" t="s">
        <v>347</v>
      </c>
      <c r="K113" s="160" t="s">
        <v>1188</v>
      </c>
      <c r="L113" s="160" t="s">
        <v>941</v>
      </c>
      <c r="M113" s="160" t="s">
        <v>324</v>
      </c>
      <c r="N113" s="160" t="s">
        <v>721</v>
      </c>
      <c r="P113" s="161" t="s">
        <v>317</v>
      </c>
      <c r="Q113" s="160" t="s">
        <v>1189</v>
      </c>
      <c r="R113" s="160" t="s">
        <v>323</v>
      </c>
      <c r="S113" s="160" t="s">
        <v>460</v>
      </c>
      <c r="T113" s="160" t="s">
        <v>324</v>
      </c>
      <c r="U113" s="160" t="s">
        <v>1104</v>
      </c>
      <c r="V113" s="172"/>
      <c r="X113" s="161" t="s">
        <v>317</v>
      </c>
      <c r="Y113" s="160" t="s">
        <v>918</v>
      </c>
      <c r="Z113" s="160" t="s">
        <v>1190</v>
      </c>
      <c r="AA113" s="160" t="s">
        <v>941</v>
      </c>
      <c r="AB113" s="160" t="s">
        <v>333</v>
      </c>
      <c r="AC113" s="160" t="s">
        <v>1191</v>
      </c>
      <c r="AE113" s="161" t="s">
        <v>317</v>
      </c>
      <c r="AF113" s="160" t="s">
        <v>1192</v>
      </c>
      <c r="AG113" s="160" t="s">
        <v>1186</v>
      </c>
      <c r="AH113" s="160" t="s">
        <v>941</v>
      </c>
      <c r="AI113" s="160" t="s">
        <v>336</v>
      </c>
      <c r="AJ113" s="160" t="s">
        <v>1193</v>
      </c>
      <c r="AL113" s="161" t="s">
        <v>317</v>
      </c>
      <c r="AM113" s="160" t="s">
        <v>338</v>
      </c>
      <c r="AN113" s="160" t="s">
        <v>323</v>
      </c>
      <c r="AO113" s="160" t="s">
        <v>460</v>
      </c>
      <c r="AP113" s="160" t="s">
        <v>336</v>
      </c>
      <c r="AQ113" s="160" t="s">
        <v>1107</v>
      </c>
      <c r="AR113" s="172"/>
      <c r="AT113" s="161" t="s">
        <v>317</v>
      </c>
      <c r="AU113" s="160" t="s">
        <v>927</v>
      </c>
      <c r="AV113" s="160" t="s">
        <v>1012</v>
      </c>
      <c r="AW113" s="160" t="s">
        <v>941</v>
      </c>
      <c r="AX113" s="160" t="s">
        <v>333</v>
      </c>
      <c r="AY113" s="160" t="s">
        <v>1194</v>
      </c>
      <c r="BA113" s="161" t="s">
        <v>317</v>
      </c>
      <c r="BB113" s="160" t="s">
        <v>931</v>
      </c>
      <c r="BC113" s="160" t="s">
        <v>1195</v>
      </c>
      <c r="BD113" s="160" t="s">
        <v>1014</v>
      </c>
      <c r="BE113" s="160" t="s">
        <v>336</v>
      </c>
      <c r="BF113" s="160" t="s">
        <v>1196</v>
      </c>
      <c r="BH113" s="161" t="s">
        <v>317</v>
      </c>
      <c r="BI113" s="160" t="s">
        <v>338</v>
      </c>
      <c r="BJ113" s="160" t="s">
        <v>323</v>
      </c>
      <c r="BK113" s="160" t="s">
        <v>460</v>
      </c>
      <c r="BL113" s="160" t="s">
        <v>336</v>
      </c>
      <c r="BM113" s="160" t="s">
        <v>1197</v>
      </c>
    </row>
    <row r="114" spans="1:65">
      <c r="B114" s="161" t="s">
        <v>349</v>
      </c>
      <c r="C114" s="160" t="s">
        <v>350</v>
      </c>
      <c r="D114" s="160" t="s">
        <v>662</v>
      </c>
      <c r="E114" s="160" t="s">
        <v>936</v>
      </c>
      <c r="F114" s="160" t="s">
        <v>353</v>
      </c>
      <c r="G114" s="160" t="s">
        <v>1198</v>
      </c>
      <c r="I114" s="161" t="s">
        <v>349</v>
      </c>
      <c r="J114" s="160" t="s">
        <v>355</v>
      </c>
      <c r="K114" s="160" t="s">
        <v>356</v>
      </c>
      <c r="L114" s="160" t="s">
        <v>939</v>
      </c>
      <c r="M114" s="160" t="s">
        <v>353</v>
      </c>
      <c r="N114" s="160" t="s">
        <v>1199</v>
      </c>
      <c r="P114" s="161" t="s">
        <v>349</v>
      </c>
      <c r="Q114" s="160" t="s">
        <v>355</v>
      </c>
      <c r="R114" s="160" t="s">
        <v>356</v>
      </c>
      <c r="S114" s="160" t="s">
        <v>941</v>
      </c>
      <c r="T114" s="160" t="s">
        <v>353</v>
      </c>
      <c r="U114" s="160" t="s">
        <v>1200</v>
      </c>
      <c r="V114" s="172"/>
      <c r="X114" s="161" t="s">
        <v>349</v>
      </c>
      <c r="Y114" s="160" t="s">
        <v>360</v>
      </c>
      <c r="Z114" s="160" t="s">
        <v>938</v>
      </c>
      <c r="AA114" s="160" t="s">
        <v>1201</v>
      </c>
      <c r="AB114" s="160" t="s">
        <v>362</v>
      </c>
      <c r="AC114" s="160" t="s">
        <v>1202</v>
      </c>
      <c r="AE114" s="161" t="s">
        <v>349</v>
      </c>
      <c r="AF114" s="160" t="s">
        <v>364</v>
      </c>
      <c r="AG114" s="160" t="s">
        <v>351</v>
      </c>
      <c r="AH114" s="160" t="s">
        <v>1203</v>
      </c>
      <c r="AI114" s="160" t="s">
        <v>365</v>
      </c>
      <c r="AJ114" s="160" t="s">
        <v>1118</v>
      </c>
      <c r="AL114" s="161" t="s">
        <v>349</v>
      </c>
      <c r="AM114" s="160" t="s">
        <v>355</v>
      </c>
      <c r="AN114" s="160" t="s">
        <v>356</v>
      </c>
      <c r="AO114" s="160" t="s">
        <v>941</v>
      </c>
      <c r="AP114" s="160" t="s">
        <v>365</v>
      </c>
      <c r="AQ114" s="160" t="s">
        <v>1119</v>
      </c>
      <c r="AR114" s="172"/>
      <c r="AT114" s="161" t="s">
        <v>349</v>
      </c>
      <c r="AU114" s="160" t="s">
        <v>368</v>
      </c>
      <c r="AV114" s="160" t="s">
        <v>938</v>
      </c>
      <c r="AW114" s="160" t="s">
        <v>944</v>
      </c>
      <c r="AX114" s="160" t="s">
        <v>362</v>
      </c>
      <c r="AY114" s="160" t="s">
        <v>1204</v>
      </c>
      <c r="BA114" s="161" t="s">
        <v>349</v>
      </c>
      <c r="BB114" s="160" t="s">
        <v>371</v>
      </c>
      <c r="BC114" s="160" t="s">
        <v>351</v>
      </c>
      <c r="BD114" s="160" t="s">
        <v>936</v>
      </c>
      <c r="BE114" s="160" t="s">
        <v>365</v>
      </c>
      <c r="BF114" s="160" t="s">
        <v>1028</v>
      </c>
      <c r="BH114" s="161" t="s">
        <v>349</v>
      </c>
      <c r="BI114" s="160" t="s">
        <v>355</v>
      </c>
      <c r="BJ114" s="160" t="s">
        <v>356</v>
      </c>
      <c r="BK114" s="160" t="s">
        <v>941</v>
      </c>
      <c r="BL114" s="160" t="s">
        <v>365</v>
      </c>
      <c r="BM114" s="160" t="s">
        <v>1119</v>
      </c>
    </row>
    <row r="115" spans="1:65">
      <c r="V115" s="172"/>
      <c r="AR115" s="172"/>
    </row>
    <row r="116" spans="1:65" ht="12" customHeight="1">
      <c r="A116" s="165" t="s">
        <v>1205</v>
      </c>
      <c r="B116" s="165"/>
      <c r="C116" s="166"/>
      <c r="D116" s="166"/>
      <c r="E116" s="166"/>
      <c r="F116" s="166"/>
      <c r="G116" s="166"/>
      <c r="H116" s="166"/>
      <c r="I116" s="167"/>
      <c r="J116" s="166"/>
      <c r="K116" s="166"/>
      <c r="L116" s="166"/>
      <c r="M116" s="166"/>
      <c r="N116" s="166"/>
      <c r="O116" s="166"/>
      <c r="P116" s="167"/>
      <c r="Q116" s="166"/>
      <c r="R116" s="166"/>
      <c r="S116" s="166"/>
      <c r="T116" s="166"/>
      <c r="U116" s="166"/>
      <c r="V116" s="168"/>
      <c r="W116" s="166"/>
      <c r="X116" s="167"/>
      <c r="Y116" s="166"/>
      <c r="Z116" s="166"/>
      <c r="AA116" s="166"/>
      <c r="AB116" s="166"/>
      <c r="AC116" s="166"/>
      <c r="AD116" s="166"/>
      <c r="AE116" s="167"/>
      <c r="AF116" s="166"/>
      <c r="AG116" s="166"/>
      <c r="AH116" s="166"/>
      <c r="AI116" s="166"/>
      <c r="AJ116" s="166"/>
      <c r="AK116" s="166"/>
      <c r="AL116" s="167"/>
      <c r="AM116" s="166"/>
      <c r="AN116" s="166"/>
      <c r="AO116" s="166"/>
      <c r="AP116" s="166"/>
      <c r="AQ116" s="166"/>
      <c r="AR116" s="168"/>
      <c r="AS116" s="166"/>
      <c r="AT116" s="167"/>
      <c r="AU116" s="166"/>
      <c r="AV116" s="166"/>
      <c r="AW116" s="166"/>
      <c r="AX116" s="166"/>
      <c r="AY116" s="166"/>
      <c r="AZ116" s="166"/>
      <c r="BA116" s="167"/>
      <c r="BB116" s="166"/>
      <c r="BC116" s="166"/>
      <c r="BD116" s="166"/>
      <c r="BE116" s="166"/>
      <c r="BF116" s="166"/>
      <c r="BG116" s="166"/>
      <c r="BH116" s="167"/>
      <c r="BI116" s="166"/>
      <c r="BJ116" s="166"/>
      <c r="BK116" s="166"/>
      <c r="BL116" s="166"/>
      <c r="BM116" s="166"/>
    </row>
    <row r="117" spans="1:65" s="170" customFormat="1">
      <c r="A117" s="169"/>
      <c r="B117" s="169" t="s">
        <v>1206</v>
      </c>
      <c r="I117" s="169" t="s">
        <v>1207</v>
      </c>
      <c r="P117" s="169" t="s">
        <v>1208</v>
      </c>
      <c r="V117" s="171"/>
      <c r="X117" s="169" t="s">
        <v>1209</v>
      </c>
      <c r="AE117" s="169" t="s">
        <v>1210</v>
      </c>
      <c r="AL117" s="169" t="s">
        <v>1211</v>
      </c>
      <c r="AR117" s="171"/>
      <c r="AT117" s="169" t="s">
        <v>1212</v>
      </c>
      <c r="BA117" s="169" t="s">
        <v>1213</v>
      </c>
      <c r="BH117" s="169" t="s">
        <v>1214</v>
      </c>
    </row>
    <row r="118" spans="1:65">
      <c r="C118" s="160" t="s">
        <v>243</v>
      </c>
      <c r="D118" s="160" t="s">
        <v>23</v>
      </c>
      <c r="E118" s="160" t="s">
        <v>24</v>
      </c>
      <c r="F118" s="160" t="s">
        <v>244</v>
      </c>
      <c r="G118" s="160" t="s">
        <v>26</v>
      </c>
      <c r="J118" s="160" t="s">
        <v>243</v>
      </c>
      <c r="K118" s="160" t="s">
        <v>23</v>
      </c>
      <c r="L118" s="160" t="s">
        <v>24</v>
      </c>
      <c r="M118" s="160" t="s">
        <v>244</v>
      </c>
      <c r="N118" s="160" t="s">
        <v>26</v>
      </c>
      <c r="Q118" s="160" t="s">
        <v>243</v>
      </c>
      <c r="R118" s="160" t="s">
        <v>23</v>
      </c>
      <c r="S118" s="160" t="s">
        <v>24</v>
      </c>
      <c r="T118" s="160" t="s">
        <v>244</v>
      </c>
      <c r="U118" s="160" t="s">
        <v>26</v>
      </c>
      <c r="V118" s="172"/>
      <c r="Y118" s="160" t="s">
        <v>243</v>
      </c>
      <c r="Z118" s="160" t="s">
        <v>23</v>
      </c>
      <c r="AA118" s="160" t="s">
        <v>24</v>
      </c>
      <c r="AB118" s="160" t="s">
        <v>244</v>
      </c>
      <c r="AC118" s="160" t="s">
        <v>26</v>
      </c>
      <c r="AF118" s="160" t="s">
        <v>243</v>
      </c>
      <c r="AG118" s="160" t="s">
        <v>23</v>
      </c>
      <c r="AH118" s="160" t="s">
        <v>24</v>
      </c>
      <c r="AI118" s="160" t="s">
        <v>244</v>
      </c>
      <c r="AJ118" s="160" t="s">
        <v>26</v>
      </c>
      <c r="AM118" s="160" t="s">
        <v>243</v>
      </c>
      <c r="AN118" s="160" t="s">
        <v>23</v>
      </c>
      <c r="AO118" s="160" t="s">
        <v>24</v>
      </c>
      <c r="AP118" s="160" t="s">
        <v>244</v>
      </c>
      <c r="AQ118" s="160" t="s">
        <v>26</v>
      </c>
      <c r="AR118" s="172"/>
      <c r="AU118" s="160" t="s">
        <v>243</v>
      </c>
      <c r="AV118" s="160" t="s">
        <v>23</v>
      </c>
      <c r="AW118" s="160" t="s">
        <v>24</v>
      </c>
      <c r="AX118" s="160" t="s">
        <v>244</v>
      </c>
      <c r="AY118" s="160" t="s">
        <v>26</v>
      </c>
      <c r="BB118" s="160" t="s">
        <v>243</v>
      </c>
      <c r="BC118" s="160" t="s">
        <v>23</v>
      </c>
      <c r="BD118" s="160" t="s">
        <v>24</v>
      </c>
      <c r="BE118" s="160" t="s">
        <v>244</v>
      </c>
      <c r="BF118" s="160" t="s">
        <v>26</v>
      </c>
      <c r="BI118" s="160" t="s">
        <v>243</v>
      </c>
      <c r="BJ118" s="160" t="s">
        <v>23</v>
      </c>
      <c r="BK118" s="160" t="s">
        <v>24</v>
      </c>
      <c r="BL118" s="160" t="s">
        <v>244</v>
      </c>
      <c r="BM118" s="160" t="s">
        <v>26</v>
      </c>
    </row>
    <row r="119" spans="1:65">
      <c r="B119" s="161" t="s">
        <v>26</v>
      </c>
      <c r="C119" s="160" t="s">
        <v>1215</v>
      </c>
      <c r="D119" s="160" t="s">
        <v>1216</v>
      </c>
      <c r="E119" s="160" t="s">
        <v>1217</v>
      </c>
      <c r="F119" s="160" t="s">
        <v>248</v>
      </c>
      <c r="G119" s="160" t="s">
        <v>1218</v>
      </c>
      <c r="I119" s="161" t="s">
        <v>26</v>
      </c>
      <c r="J119" s="160" t="s">
        <v>1219</v>
      </c>
      <c r="K119" s="160" t="s">
        <v>246</v>
      </c>
      <c r="L119" s="160" t="s">
        <v>1220</v>
      </c>
      <c r="M119" s="160" t="s">
        <v>253</v>
      </c>
      <c r="N119" s="160" t="s">
        <v>1221</v>
      </c>
      <c r="P119" s="161" t="s">
        <v>26</v>
      </c>
      <c r="Q119" s="160" t="s">
        <v>1222</v>
      </c>
      <c r="R119" s="160" t="s">
        <v>256</v>
      </c>
      <c r="S119" s="160" t="s">
        <v>1223</v>
      </c>
      <c r="T119" s="160" t="s">
        <v>253</v>
      </c>
      <c r="U119" s="160" t="s">
        <v>1224</v>
      </c>
      <c r="V119" s="172"/>
      <c r="X119" s="161" t="s">
        <v>26</v>
      </c>
      <c r="Y119" s="160" t="s">
        <v>1225</v>
      </c>
      <c r="Z119" s="160" t="s">
        <v>1226</v>
      </c>
      <c r="AA119" s="160" t="s">
        <v>1227</v>
      </c>
      <c r="AB119" s="160" t="s">
        <v>262</v>
      </c>
      <c r="AC119" s="160" t="s">
        <v>1228</v>
      </c>
      <c r="AE119" s="161" t="s">
        <v>26</v>
      </c>
      <c r="AF119" s="160" t="s">
        <v>1229</v>
      </c>
      <c r="AG119" s="160" t="s">
        <v>561</v>
      </c>
      <c r="AH119" s="160" t="s">
        <v>1230</v>
      </c>
      <c r="AI119" s="160" t="s">
        <v>267</v>
      </c>
      <c r="AJ119" s="160" t="s">
        <v>1231</v>
      </c>
      <c r="AL119" s="161" t="s">
        <v>26</v>
      </c>
      <c r="AM119" s="160" t="s">
        <v>1232</v>
      </c>
      <c r="AN119" s="160" t="s">
        <v>256</v>
      </c>
      <c r="AO119" s="160" t="s">
        <v>1223</v>
      </c>
      <c r="AP119" s="160" t="s">
        <v>267</v>
      </c>
      <c r="AQ119" s="160" t="s">
        <v>1233</v>
      </c>
      <c r="AR119" s="172"/>
      <c r="AT119" s="161" t="s">
        <v>26</v>
      </c>
      <c r="AU119" s="160" t="s">
        <v>1234</v>
      </c>
      <c r="AV119" s="160" t="s">
        <v>1235</v>
      </c>
      <c r="AW119" s="160" t="s">
        <v>1236</v>
      </c>
      <c r="AX119" s="160" t="s">
        <v>262</v>
      </c>
      <c r="AY119" s="160" t="s">
        <v>1237</v>
      </c>
      <c r="BA119" s="161" t="s">
        <v>26</v>
      </c>
      <c r="BB119" s="160" t="s">
        <v>1238</v>
      </c>
      <c r="BC119" s="160" t="s">
        <v>1239</v>
      </c>
      <c r="BD119" s="160" t="s">
        <v>1240</v>
      </c>
      <c r="BE119" s="160" t="s">
        <v>267</v>
      </c>
      <c r="BF119" s="160" t="s">
        <v>1241</v>
      </c>
      <c r="BH119" s="161" t="s">
        <v>26</v>
      </c>
      <c r="BI119" s="160" t="s">
        <v>1242</v>
      </c>
      <c r="BJ119" s="160" t="s">
        <v>256</v>
      </c>
      <c r="BK119" s="160" t="s">
        <v>1223</v>
      </c>
      <c r="BL119" s="160" t="s">
        <v>267</v>
      </c>
      <c r="BM119" s="160" t="s">
        <v>1243</v>
      </c>
    </row>
    <row r="120" spans="1:65">
      <c r="B120" s="161" t="s">
        <v>281</v>
      </c>
      <c r="C120" s="160" t="s">
        <v>1244</v>
      </c>
      <c r="D120" s="160" t="s">
        <v>1245</v>
      </c>
      <c r="E120" s="160" t="s">
        <v>1246</v>
      </c>
      <c r="F120" s="160" t="s">
        <v>285</v>
      </c>
      <c r="G120" s="160" t="s">
        <v>1247</v>
      </c>
      <c r="I120" s="161" t="s">
        <v>281</v>
      </c>
      <c r="J120" s="160" t="s">
        <v>1248</v>
      </c>
      <c r="K120" s="160" t="s">
        <v>684</v>
      </c>
      <c r="L120" s="160" t="s">
        <v>1249</v>
      </c>
      <c r="M120" s="160" t="s">
        <v>289</v>
      </c>
      <c r="N120" s="160" t="s">
        <v>1250</v>
      </c>
      <c r="P120" s="161" t="s">
        <v>281</v>
      </c>
      <c r="Q120" s="160" t="s">
        <v>1251</v>
      </c>
      <c r="R120" s="160" t="s">
        <v>292</v>
      </c>
      <c r="S120" s="160" t="s">
        <v>1252</v>
      </c>
      <c r="T120" s="160" t="s">
        <v>289</v>
      </c>
      <c r="U120" s="160" t="s">
        <v>1253</v>
      </c>
      <c r="V120" s="172"/>
      <c r="X120" s="161" t="s">
        <v>281</v>
      </c>
      <c r="Y120" s="160" t="s">
        <v>1254</v>
      </c>
      <c r="Z120" s="160" t="s">
        <v>438</v>
      </c>
      <c r="AA120" s="160" t="s">
        <v>1255</v>
      </c>
      <c r="AB120" s="160" t="s">
        <v>298</v>
      </c>
      <c r="AC120" s="160" t="s">
        <v>1256</v>
      </c>
      <c r="AE120" s="161" t="s">
        <v>281</v>
      </c>
      <c r="AF120" s="160" t="s">
        <v>1257</v>
      </c>
      <c r="AG120" s="160" t="s">
        <v>1258</v>
      </c>
      <c r="AH120" s="160" t="s">
        <v>1259</v>
      </c>
      <c r="AI120" s="160" t="s">
        <v>303</v>
      </c>
      <c r="AJ120" s="160" t="s">
        <v>1260</v>
      </c>
      <c r="AL120" s="161" t="s">
        <v>281</v>
      </c>
      <c r="AM120" s="160" t="s">
        <v>1261</v>
      </c>
      <c r="AN120" s="160" t="s">
        <v>292</v>
      </c>
      <c r="AO120" s="160" t="s">
        <v>1252</v>
      </c>
      <c r="AP120" s="160" t="s">
        <v>303</v>
      </c>
      <c r="AQ120" s="160" t="s">
        <v>1262</v>
      </c>
      <c r="AR120" s="172"/>
      <c r="AT120" s="161" t="s">
        <v>281</v>
      </c>
      <c r="AU120" s="160" t="s">
        <v>1263</v>
      </c>
      <c r="AV120" s="160" t="s">
        <v>1264</v>
      </c>
      <c r="AW120" s="160" t="s">
        <v>1265</v>
      </c>
      <c r="AX120" s="160" t="s">
        <v>298</v>
      </c>
      <c r="AY120" s="160" t="s">
        <v>1266</v>
      </c>
      <c r="BA120" s="161" t="s">
        <v>281</v>
      </c>
      <c r="BB120" s="160" t="s">
        <v>1267</v>
      </c>
      <c r="BC120" s="160" t="s">
        <v>703</v>
      </c>
      <c r="BD120" s="160" t="s">
        <v>1268</v>
      </c>
      <c r="BE120" s="160" t="s">
        <v>303</v>
      </c>
      <c r="BF120" s="160" t="s">
        <v>1269</v>
      </c>
      <c r="BH120" s="161" t="s">
        <v>281</v>
      </c>
      <c r="BI120" s="160" t="s">
        <v>1270</v>
      </c>
      <c r="BJ120" s="160" t="s">
        <v>292</v>
      </c>
      <c r="BK120" s="160" t="s">
        <v>1252</v>
      </c>
      <c r="BL120" s="160" t="s">
        <v>303</v>
      </c>
      <c r="BM120" s="160" t="s">
        <v>1271</v>
      </c>
    </row>
    <row r="121" spans="1:65">
      <c r="B121" s="161" t="s">
        <v>317</v>
      </c>
      <c r="C121" s="160" t="s">
        <v>1272</v>
      </c>
      <c r="D121" s="160" t="s">
        <v>369</v>
      </c>
      <c r="E121" s="160" t="s">
        <v>782</v>
      </c>
      <c r="F121" s="160" t="s">
        <v>321</v>
      </c>
      <c r="G121" s="160" t="s">
        <v>1273</v>
      </c>
      <c r="I121" s="161" t="s">
        <v>317</v>
      </c>
      <c r="J121" s="160" t="s">
        <v>1189</v>
      </c>
      <c r="K121" s="160" t="s">
        <v>369</v>
      </c>
      <c r="L121" s="160" t="s">
        <v>782</v>
      </c>
      <c r="M121" s="160" t="s">
        <v>324</v>
      </c>
      <c r="N121" s="160" t="s">
        <v>783</v>
      </c>
      <c r="P121" s="161" t="s">
        <v>317</v>
      </c>
      <c r="Q121" s="160" t="s">
        <v>1274</v>
      </c>
      <c r="R121" s="160" t="s">
        <v>327</v>
      </c>
      <c r="S121" s="160" t="s">
        <v>782</v>
      </c>
      <c r="T121" s="160" t="s">
        <v>324</v>
      </c>
      <c r="U121" s="160" t="s">
        <v>1275</v>
      </c>
      <c r="V121" s="172"/>
      <c r="X121" s="161" t="s">
        <v>317</v>
      </c>
      <c r="Y121" s="160" t="s">
        <v>1276</v>
      </c>
      <c r="Z121" s="160" t="s">
        <v>319</v>
      </c>
      <c r="AA121" s="160" t="s">
        <v>722</v>
      </c>
      <c r="AB121" s="160" t="s">
        <v>333</v>
      </c>
      <c r="AC121" s="160" t="s">
        <v>1277</v>
      </c>
      <c r="AE121" s="161" t="s">
        <v>317</v>
      </c>
      <c r="AF121" s="160" t="s">
        <v>347</v>
      </c>
      <c r="AG121" s="160" t="s">
        <v>319</v>
      </c>
      <c r="AH121" s="160" t="s">
        <v>328</v>
      </c>
      <c r="AI121" s="160" t="s">
        <v>336</v>
      </c>
      <c r="AJ121" s="160" t="s">
        <v>588</v>
      </c>
      <c r="AL121" s="161" t="s">
        <v>317</v>
      </c>
      <c r="AM121" s="160" t="s">
        <v>1189</v>
      </c>
      <c r="AN121" s="160" t="s">
        <v>327</v>
      </c>
      <c r="AO121" s="160" t="s">
        <v>782</v>
      </c>
      <c r="AP121" s="160" t="s">
        <v>336</v>
      </c>
      <c r="AQ121" s="160" t="s">
        <v>1278</v>
      </c>
      <c r="AR121" s="172"/>
      <c r="AT121" s="161" t="s">
        <v>317</v>
      </c>
      <c r="AU121" s="160" t="s">
        <v>1279</v>
      </c>
      <c r="AV121" s="160" t="s">
        <v>323</v>
      </c>
      <c r="AW121" s="160" t="s">
        <v>1280</v>
      </c>
      <c r="AX121" s="160" t="s">
        <v>333</v>
      </c>
      <c r="AY121" s="160" t="s">
        <v>1281</v>
      </c>
      <c r="BA121" s="161" t="s">
        <v>317</v>
      </c>
      <c r="BB121" s="160" t="s">
        <v>922</v>
      </c>
      <c r="BC121" s="160" t="s">
        <v>331</v>
      </c>
      <c r="BD121" s="160" t="s">
        <v>781</v>
      </c>
      <c r="BE121" s="160" t="s">
        <v>336</v>
      </c>
      <c r="BF121" s="160" t="s">
        <v>1282</v>
      </c>
      <c r="BH121" s="161" t="s">
        <v>317</v>
      </c>
      <c r="BI121" s="160" t="s">
        <v>326</v>
      </c>
      <c r="BJ121" s="160" t="s">
        <v>327</v>
      </c>
      <c r="BK121" s="160" t="s">
        <v>782</v>
      </c>
      <c r="BL121" s="160" t="s">
        <v>336</v>
      </c>
      <c r="BM121" s="160" t="s">
        <v>1278</v>
      </c>
    </row>
    <row r="122" spans="1:65">
      <c r="B122" s="161" t="s">
        <v>349</v>
      </c>
      <c r="C122" s="160" t="s">
        <v>350</v>
      </c>
      <c r="D122" s="160" t="s">
        <v>351</v>
      </c>
      <c r="E122" s="160" t="s">
        <v>358</v>
      </c>
      <c r="F122" s="160" t="s">
        <v>353</v>
      </c>
      <c r="G122" s="160" t="s">
        <v>1283</v>
      </c>
      <c r="I122" s="161" t="s">
        <v>349</v>
      </c>
      <c r="J122" s="160" t="s">
        <v>355</v>
      </c>
      <c r="K122" s="160" t="s">
        <v>356</v>
      </c>
      <c r="L122" s="160" t="s">
        <v>358</v>
      </c>
      <c r="M122" s="160" t="s">
        <v>353</v>
      </c>
      <c r="N122" s="160" t="s">
        <v>1284</v>
      </c>
      <c r="P122" s="161" t="s">
        <v>349</v>
      </c>
      <c r="Q122" s="160" t="s">
        <v>355</v>
      </c>
      <c r="R122" s="160" t="s">
        <v>356</v>
      </c>
      <c r="S122" s="160" t="s">
        <v>358</v>
      </c>
      <c r="T122" s="160" t="s">
        <v>353</v>
      </c>
      <c r="U122" s="160" t="s">
        <v>359</v>
      </c>
      <c r="V122" s="172"/>
      <c r="X122" s="161" t="s">
        <v>349</v>
      </c>
      <c r="Y122" s="160" t="s">
        <v>1285</v>
      </c>
      <c r="Z122" s="160" t="s">
        <v>351</v>
      </c>
      <c r="AA122" s="160" t="s">
        <v>358</v>
      </c>
      <c r="AB122" s="160" t="s">
        <v>362</v>
      </c>
      <c r="AC122" s="160" t="s">
        <v>1286</v>
      </c>
      <c r="AE122" s="161" t="s">
        <v>349</v>
      </c>
      <c r="AF122" s="160" t="s">
        <v>364</v>
      </c>
      <c r="AG122" s="160" t="s">
        <v>356</v>
      </c>
      <c r="AH122" s="160" t="s">
        <v>358</v>
      </c>
      <c r="AI122" s="160" t="s">
        <v>365</v>
      </c>
      <c r="AJ122" s="160" t="s">
        <v>367</v>
      </c>
      <c r="AL122" s="161" t="s">
        <v>349</v>
      </c>
      <c r="AM122" s="160" t="s">
        <v>355</v>
      </c>
      <c r="AN122" s="160" t="s">
        <v>356</v>
      </c>
      <c r="AO122" s="160" t="s">
        <v>358</v>
      </c>
      <c r="AP122" s="160" t="s">
        <v>365</v>
      </c>
      <c r="AQ122" s="160" t="s">
        <v>367</v>
      </c>
      <c r="AR122" s="172"/>
      <c r="AT122" s="161" t="s">
        <v>349</v>
      </c>
      <c r="AU122" s="160" t="s">
        <v>1287</v>
      </c>
      <c r="AV122" s="160" t="s">
        <v>327</v>
      </c>
      <c r="AW122" s="160" t="s">
        <v>352</v>
      </c>
      <c r="AX122" s="160" t="s">
        <v>362</v>
      </c>
      <c r="AY122" s="160" t="s">
        <v>1288</v>
      </c>
      <c r="BA122" s="161" t="s">
        <v>349</v>
      </c>
      <c r="BB122" s="160" t="s">
        <v>371</v>
      </c>
      <c r="BC122" s="160" t="s">
        <v>351</v>
      </c>
      <c r="BD122" s="160" t="s">
        <v>358</v>
      </c>
      <c r="BE122" s="160" t="s">
        <v>365</v>
      </c>
      <c r="BF122" s="160" t="s">
        <v>366</v>
      </c>
      <c r="BH122" s="161" t="s">
        <v>349</v>
      </c>
      <c r="BI122" s="160" t="s">
        <v>364</v>
      </c>
      <c r="BJ122" s="160" t="s">
        <v>356</v>
      </c>
      <c r="BK122" s="160" t="s">
        <v>358</v>
      </c>
      <c r="BL122" s="160" t="s">
        <v>365</v>
      </c>
      <c r="BM122" s="160" t="s">
        <v>367</v>
      </c>
    </row>
    <row r="123" spans="1:65">
      <c r="V123" s="172"/>
      <c r="AR123" s="172"/>
    </row>
    <row r="124" spans="1:65" ht="12" customHeight="1">
      <c r="A124" s="165" t="s">
        <v>1289</v>
      </c>
      <c r="B124" s="165"/>
      <c r="C124" s="166"/>
      <c r="D124" s="166"/>
      <c r="E124" s="166"/>
      <c r="F124" s="166"/>
      <c r="G124" s="166"/>
      <c r="H124" s="166"/>
      <c r="I124" s="167"/>
      <c r="J124" s="166"/>
      <c r="K124" s="166"/>
      <c r="L124" s="166"/>
      <c r="M124" s="166"/>
      <c r="N124" s="166"/>
      <c r="O124" s="166"/>
      <c r="P124" s="167"/>
      <c r="Q124" s="166"/>
      <c r="R124" s="166"/>
      <c r="S124" s="166"/>
      <c r="T124" s="166"/>
      <c r="U124" s="166"/>
      <c r="V124" s="168"/>
      <c r="W124" s="166"/>
      <c r="X124" s="167"/>
      <c r="Y124" s="166"/>
      <c r="Z124" s="166"/>
      <c r="AA124" s="166"/>
      <c r="AB124" s="166"/>
      <c r="AC124" s="166"/>
      <c r="AD124" s="166"/>
      <c r="AE124" s="167"/>
      <c r="AF124" s="166"/>
      <c r="AG124" s="166"/>
      <c r="AH124" s="166"/>
      <c r="AI124" s="166"/>
      <c r="AJ124" s="166"/>
      <c r="AK124" s="166"/>
      <c r="AL124" s="167"/>
      <c r="AM124" s="166"/>
      <c r="AN124" s="166"/>
      <c r="AO124" s="166"/>
      <c r="AP124" s="166"/>
      <c r="AQ124" s="166"/>
      <c r="AR124" s="168"/>
      <c r="AS124" s="166"/>
      <c r="AT124" s="167"/>
      <c r="AU124" s="166"/>
      <c r="AV124" s="166"/>
      <c r="AW124" s="166"/>
      <c r="AX124" s="166"/>
      <c r="AY124" s="166"/>
      <c r="AZ124" s="166"/>
      <c r="BA124" s="167"/>
      <c r="BB124" s="166"/>
      <c r="BC124" s="166"/>
      <c r="BD124" s="166"/>
      <c r="BE124" s="166"/>
      <c r="BF124" s="166"/>
      <c r="BG124" s="166"/>
      <c r="BH124" s="167"/>
      <c r="BI124" s="166"/>
      <c r="BJ124" s="166"/>
      <c r="BK124" s="166"/>
      <c r="BL124" s="166"/>
      <c r="BM124" s="166"/>
    </row>
    <row r="125" spans="1:65" s="170" customFormat="1">
      <c r="A125" s="169"/>
      <c r="B125" s="169" t="s">
        <v>1290</v>
      </c>
      <c r="I125" s="169" t="s">
        <v>1291</v>
      </c>
      <c r="P125" s="169" t="s">
        <v>1292</v>
      </c>
      <c r="V125" s="171"/>
      <c r="X125" s="169" t="s">
        <v>1293</v>
      </c>
      <c r="AE125" s="169" t="s">
        <v>1294</v>
      </c>
      <c r="AL125" s="169" t="s">
        <v>1295</v>
      </c>
      <c r="AR125" s="171"/>
      <c r="AT125" s="169" t="s">
        <v>1296</v>
      </c>
      <c r="BA125" s="169" t="s">
        <v>1297</v>
      </c>
      <c r="BH125" s="169" t="s">
        <v>1298</v>
      </c>
    </row>
    <row r="126" spans="1:65">
      <c r="C126" s="160" t="s">
        <v>243</v>
      </c>
      <c r="D126" s="160" t="s">
        <v>23</v>
      </c>
      <c r="E126" s="160" t="s">
        <v>24</v>
      </c>
      <c r="F126" s="160" t="s">
        <v>244</v>
      </c>
      <c r="G126" s="160" t="s">
        <v>26</v>
      </c>
      <c r="J126" s="160" t="s">
        <v>243</v>
      </c>
      <c r="K126" s="160" t="s">
        <v>23</v>
      </c>
      <c r="L126" s="160" t="s">
        <v>24</v>
      </c>
      <c r="M126" s="160" t="s">
        <v>244</v>
      </c>
      <c r="N126" s="160" t="s">
        <v>26</v>
      </c>
      <c r="Q126" s="160" t="s">
        <v>243</v>
      </c>
      <c r="R126" s="160" t="s">
        <v>23</v>
      </c>
      <c r="S126" s="160" t="s">
        <v>24</v>
      </c>
      <c r="T126" s="160" t="s">
        <v>244</v>
      </c>
      <c r="U126" s="160" t="s">
        <v>26</v>
      </c>
      <c r="V126" s="172"/>
      <c r="Y126" s="160" t="s">
        <v>243</v>
      </c>
      <c r="Z126" s="160" t="s">
        <v>23</v>
      </c>
      <c r="AA126" s="160" t="s">
        <v>24</v>
      </c>
      <c r="AB126" s="160" t="s">
        <v>244</v>
      </c>
      <c r="AC126" s="160" t="s">
        <v>26</v>
      </c>
      <c r="AF126" s="160" t="s">
        <v>243</v>
      </c>
      <c r="AG126" s="160" t="s">
        <v>23</v>
      </c>
      <c r="AH126" s="160" t="s">
        <v>24</v>
      </c>
      <c r="AI126" s="160" t="s">
        <v>244</v>
      </c>
      <c r="AJ126" s="160" t="s">
        <v>26</v>
      </c>
      <c r="AM126" s="160" t="s">
        <v>243</v>
      </c>
      <c r="AN126" s="160" t="s">
        <v>23</v>
      </c>
      <c r="AO126" s="160" t="s">
        <v>24</v>
      </c>
      <c r="AP126" s="160" t="s">
        <v>244</v>
      </c>
      <c r="AQ126" s="160" t="s">
        <v>26</v>
      </c>
      <c r="AR126" s="172"/>
      <c r="AU126" s="160" t="s">
        <v>243</v>
      </c>
      <c r="AV126" s="160" t="s">
        <v>23</v>
      </c>
      <c r="AW126" s="160" t="s">
        <v>24</v>
      </c>
      <c r="AX126" s="160" t="s">
        <v>244</v>
      </c>
      <c r="AY126" s="160" t="s">
        <v>26</v>
      </c>
      <c r="BB126" s="160" t="s">
        <v>243</v>
      </c>
      <c r="BC126" s="160" t="s">
        <v>23</v>
      </c>
      <c r="BD126" s="160" t="s">
        <v>24</v>
      </c>
      <c r="BE126" s="160" t="s">
        <v>244</v>
      </c>
      <c r="BF126" s="160" t="s">
        <v>26</v>
      </c>
      <c r="BI126" s="160" t="s">
        <v>243</v>
      </c>
      <c r="BJ126" s="160" t="s">
        <v>23</v>
      </c>
      <c r="BK126" s="160" t="s">
        <v>24</v>
      </c>
      <c r="BL126" s="160" t="s">
        <v>244</v>
      </c>
      <c r="BM126" s="160" t="s">
        <v>26</v>
      </c>
    </row>
    <row r="127" spans="1:65">
      <c r="B127" s="161" t="s">
        <v>26</v>
      </c>
      <c r="C127" s="160" t="s">
        <v>1299</v>
      </c>
      <c r="D127" s="160" t="s">
        <v>1300</v>
      </c>
      <c r="E127" s="160" t="s">
        <v>1301</v>
      </c>
      <c r="F127" s="160" t="s">
        <v>248</v>
      </c>
      <c r="G127" s="160" t="s">
        <v>1302</v>
      </c>
      <c r="I127" s="161" t="s">
        <v>26</v>
      </c>
      <c r="J127" s="160" t="s">
        <v>1303</v>
      </c>
      <c r="K127" s="160" t="s">
        <v>1304</v>
      </c>
      <c r="L127" s="160" t="s">
        <v>1305</v>
      </c>
      <c r="M127" s="160" t="s">
        <v>253</v>
      </c>
      <c r="N127" s="160" t="s">
        <v>1306</v>
      </c>
      <c r="P127" s="161" t="s">
        <v>26</v>
      </c>
      <c r="Q127" s="160" t="s">
        <v>1307</v>
      </c>
      <c r="R127" s="160" t="s">
        <v>1308</v>
      </c>
      <c r="S127" s="160" t="s">
        <v>1309</v>
      </c>
      <c r="T127" s="160" t="s">
        <v>253</v>
      </c>
      <c r="U127" s="160" t="s">
        <v>1310</v>
      </c>
      <c r="V127" s="172"/>
      <c r="X127" s="161" t="s">
        <v>26</v>
      </c>
      <c r="Y127" s="160" t="s">
        <v>1311</v>
      </c>
      <c r="Z127" s="160" t="s">
        <v>561</v>
      </c>
      <c r="AA127" s="160" t="s">
        <v>1312</v>
      </c>
      <c r="AB127" s="160" t="s">
        <v>262</v>
      </c>
      <c r="AC127" s="160" t="s">
        <v>1313</v>
      </c>
      <c r="AE127" s="161" t="s">
        <v>26</v>
      </c>
      <c r="AF127" s="160" t="s">
        <v>1314</v>
      </c>
      <c r="AG127" s="160" t="s">
        <v>1315</v>
      </c>
      <c r="AH127" s="160" t="s">
        <v>1316</v>
      </c>
      <c r="AI127" s="160" t="s">
        <v>267</v>
      </c>
      <c r="AJ127" s="160" t="s">
        <v>1317</v>
      </c>
      <c r="AL127" s="161" t="s">
        <v>26</v>
      </c>
      <c r="AM127" s="160" t="s">
        <v>1318</v>
      </c>
      <c r="AN127" s="160" t="s">
        <v>1308</v>
      </c>
      <c r="AO127" s="160" t="s">
        <v>1309</v>
      </c>
      <c r="AP127" s="160" t="s">
        <v>267</v>
      </c>
      <c r="AQ127" s="160" t="s">
        <v>1319</v>
      </c>
      <c r="AR127" s="172"/>
      <c r="AT127" s="161" t="s">
        <v>26</v>
      </c>
      <c r="AU127" s="160" t="s">
        <v>1320</v>
      </c>
      <c r="AV127" s="160" t="s">
        <v>1321</v>
      </c>
      <c r="AW127" s="160" t="s">
        <v>1322</v>
      </c>
      <c r="AX127" s="160" t="s">
        <v>262</v>
      </c>
      <c r="AY127" s="160" t="s">
        <v>1323</v>
      </c>
      <c r="BA127" s="161" t="s">
        <v>26</v>
      </c>
      <c r="BB127" s="160" t="s">
        <v>1324</v>
      </c>
      <c r="BC127" s="160" t="s">
        <v>1325</v>
      </c>
      <c r="BD127" s="160" t="s">
        <v>1326</v>
      </c>
      <c r="BE127" s="160" t="s">
        <v>267</v>
      </c>
      <c r="BF127" s="160" t="s">
        <v>1327</v>
      </c>
      <c r="BH127" s="161" t="s">
        <v>26</v>
      </c>
      <c r="BI127" s="160" t="s">
        <v>1328</v>
      </c>
      <c r="BJ127" s="160" t="s">
        <v>1308</v>
      </c>
      <c r="BK127" s="160" t="s">
        <v>1309</v>
      </c>
      <c r="BL127" s="160" t="s">
        <v>267</v>
      </c>
      <c r="BM127" s="160" t="s">
        <v>1329</v>
      </c>
    </row>
    <row r="128" spans="1:65">
      <c r="B128" s="161" t="s">
        <v>281</v>
      </c>
      <c r="C128" s="160" t="s">
        <v>1330</v>
      </c>
      <c r="D128" s="160" t="s">
        <v>1331</v>
      </c>
      <c r="E128" s="160" t="s">
        <v>1332</v>
      </c>
      <c r="F128" s="160" t="s">
        <v>285</v>
      </c>
      <c r="G128" s="160" t="s">
        <v>1333</v>
      </c>
      <c r="I128" s="161" t="s">
        <v>281</v>
      </c>
      <c r="J128" s="160" t="s">
        <v>1334</v>
      </c>
      <c r="K128" s="160" t="s">
        <v>1335</v>
      </c>
      <c r="L128" s="160" t="s">
        <v>1336</v>
      </c>
      <c r="M128" s="160" t="s">
        <v>289</v>
      </c>
      <c r="N128" s="160" t="s">
        <v>1337</v>
      </c>
      <c r="P128" s="161" t="s">
        <v>281</v>
      </c>
      <c r="Q128" s="160" t="s">
        <v>1338</v>
      </c>
      <c r="R128" s="160" t="s">
        <v>1339</v>
      </c>
      <c r="S128" s="160" t="s">
        <v>1340</v>
      </c>
      <c r="T128" s="160" t="s">
        <v>289</v>
      </c>
      <c r="U128" s="160" t="s">
        <v>1341</v>
      </c>
      <c r="V128" s="172"/>
      <c r="X128" s="161" t="s">
        <v>281</v>
      </c>
      <c r="Y128" s="160" t="s">
        <v>1342</v>
      </c>
      <c r="Z128" s="160" t="s">
        <v>1343</v>
      </c>
      <c r="AA128" s="160" t="s">
        <v>1344</v>
      </c>
      <c r="AB128" s="160" t="s">
        <v>298</v>
      </c>
      <c r="AC128" s="160" t="s">
        <v>1345</v>
      </c>
      <c r="AE128" s="161" t="s">
        <v>281</v>
      </c>
      <c r="AF128" s="160" t="s">
        <v>1346</v>
      </c>
      <c r="AG128" s="160" t="s">
        <v>1347</v>
      </c>
      <c r="AH128" s="160" t="s">
        <v>1348</v>
      </c>
      <c r="AI128" s="160" t="s">
        <v>303</v>
      </c>
      <c r="AJ128" s="160" t="s">
        <v>1349</v>
      </c>
      <c r="AL128" s="161" t="s">
        <v>281</v>
      </c>
      <c r="AM128" s="160" t="s">
        <v>1350</v>
      </c>
      <c r="AN128" s="160" t="s">
        <v>1339</v>
      </c>
      <c r="AO128" s="160" t="s">
        <v>1340</v>
      </c>
      <c r="AP128" s="160" t="s">
        <v>303</v>
      </c>
      <c r="AQ128" s="160" t="s">
        <v>1351</v>
      </c>
      <c r="AR128" s="172"/>
      <c r="AT128" s="161" t="s">
        <v>281</v>
      </c>
      <c r="AU128" s="160" t="s">
        <v>1352</v>
      </c>
      <c r="AV128" s="160" t="s">
        <v>1353</v>
      </c>
      <c r="AW128" s="160" t="s">
        <v>1354</v>
      </c>
      <c r="AX128" s="160" t="s">
        <v>298</v>
      </c>
      <c r="AY128" s="160" t="s">
        <v>1355</v>
      </c>
      <c r="BA128" s="161" t="s">
        <v>281</v>
      </c>
      <c r="BB128" s="160" t="s">
        <v>1356</v>
      </c>
      <c r="BC128" s="160" t="s">
        <v>1357</v>
      </c>
      <c r="BD128" s="160" t="s">
        <v>1358</v>
      </c>
      <c r="BE128" s="160" t="s">
        <v>303</v>
      </c>
      <c r="BF128" s="160" t="s">
        <v>1359</v>
      </c>
      <c r="BH128" s="161" t="s">
        <v>281</v>
      </c>
      <c r="BI128" s="160" t="s">
        <v>1360</v>
      </c>
      <c r="BJ128" s="160" t="s">
        <v>1339</v>
      </c>
      <c r="BK128" s="160" t="s">
        <v>1340</v>
      </c>
      <c r="BL128" s="160" t="s">
        <v>303</v>
      </c>
      <c r="BM128" s="160" t="s">
        <v>1361</v>
      </c>
    </row>
    <row r="129" spans="1:65">
      <c r="B129" s="161" t="s">
        <v>317</v>
      </c>
      <c r="C129" s="160" t="s">
        <v>1362</v>
      </c>
      <c r="D129" s="160" t="s">
        <v>369</v>
      </c>
      <c r="E129" s="160" t="s">
        <v>1363</v>
      </c>
      <c r="F129" s="160" t="s">
        <v>321</v>
      </c>
      <c r="G129" s="160" t="s">
        <v>1364</v>
      </c>
      <c r="I129" s="161" t="s">
        <v>317</v>
      </c>
      <c r="J129" s="160" t="s">
        <v>1189</v>
      </c>
      <c r="K129" s="160" t="s">
        <v>323</v>
      </c>
      <c r="L129" s="160" t="s">
        <v>1365</v>
      </c>
      <c r="M129" s="160" t="s">
        <v>324</v>
      </c>
      <c r="N129" s="160" t="s">
        <v>1366</v>
      </c>
      <c r="P129" s="161" t="s">
        <v>317</v>
      </c>
      <c r="Q129" s="160" t="s">
        <v>1274</v>
      </c>
      <c r="R129" s="160" t="s">
        <v>319</v>
      </c>
      <c r="S129" s="160" t="s">
        <v>345</v>
      </c>
      <c r="T129" s="160" t="s">
        <v>324</v>
      </c>
      <c r="U129" s="160" t="s">
        <v>1367</v>
      </c>
      <c r="V129" s="172"/>
      <c r="X129" s="161" t="s">
        <v>317</v>
      </c>
      <c r="Y129" s="160" t="s">
        <v>1368</v>
      </c>
      <c r="Z129" s="160" t="s">
        <v>323</v>
      </c>
      <c r="AA129" s="160" t="s">
        <v>458</v>
      </c>
      <c r="AB129" s="160" t="s">
        <v>333</v>
      </c>
      <c r="AC129" s="160" t="s">
        <v>1369</v>
      </c>
      <c r="AE129" s="161" t="s">
        <v>317</v>
      </c>
      <c r="AF129" s="160" t="s">
        <v>347</v>
      </c>
      <c r="AG129" s="160" t="s">
        <v>331</v>
      </c>
      <c r="AH129" s="160" t="s">
        <v>1370</v>
      </c>
      <c r="AI129" s="160" t="s">
        <v>336</v>
      </c>
      <c r="AJ129" s="160" t="s">
        <v>1371</v>
      </c>
      <c r="AL129" s="161" t="s">
        <v>317</v>
      </c>
      <c r="AM129" s="160" t="s">
        <v>1189</v>
      </c>
      <c r="AN129" s="160" t="s">
        <v>319</v>
      </c>
      <c r="AO129" s="160" t="s">
        <v>345</v>
      </c>
      <c r="AP129" s="160" t="s">
        <v>336</v>
      </c>
      <c r="AQ129" s="160" t="s">
        <v>1372</v>
      </c>
      <c r="AR129" s="172"/>
      <c r="AT129" s="161" t="s">
        <v>317</v>
      </c>
      <c r="AU129" s="160" t="s">
        <v>340</v>
      </c>
      <c r="AV129" s="160" t="s">
        <v>331</v>
      </c>
      <c r="AW129" s="160" t="s">
        <v>1373</v>
      </c>
      <c r="AX129" s="160" t="s">
        <v>333</v>
      </c>
      <c r="AY129" s="160" t="s">
        <v>1374</v>
      </c>
      <c r="BA129" s="161" t="s">
        <v>317</v>
      </c>
      <c r="BB129" s="160" t="s">
        <v>922</v>
      </c>
      <c r="BC129" s="160" t="s">
        <v>423</v>
      </c>
      <c r="BD129" s="160" t="s">
        <v>1375</v>
      </c>
      <c r="BE129" s="160" t="s">
        <v>336</v>
      </c>
      <c r="BF129" s="160" t="s">
        <v>1376</v>
      </c>
      <c r="BH129" s="161" t="s">
        <v>317</v>
      </c>
      <c r="BI129" s="160" t="s">
        <v>1189</v>
      </c>
      <c r="BJ129" s="160" t="s">
        <v>319</v>
      </c>
      <c r="BK129" s="160" t="s">
        <v>345</v>
      </c>
      <c r="BL129" s="160" t="s">
        <v>336</v>
      </c>
      <c r="BM129" s="160" t="s">
        <v>1372</v>
      </c>
    </row>
    <row r="130" spans="1:65">
      <c r="B130" s="161" t="s">
        <v>349</v>
      </c>
      <c r="C130" s="160" t="s">
        <v>350</v>
      </c>
      <c r="D130" s="160" t="s">
        <v>356</v>
      </c>
      <c r="E130" s="160" t="s">
        <v>361</v>
      </c>
      <c r="F130" s="160" t="s">
        <v>353</v>
      </c>
      <c r="G130" s="160" t="s">
        <v>1377</v>
      </c>
      <c r="I130" s="161" t="s">
        <v>349</v>
      </c>
      <c r="J130" s="160" t="s">
        <v>355</v>
      </c>
      <c r="K130" s="160" t="s">
        <v>356</v>
      </c>
      <c r="L130" s="160" t="s">
        <v>361</v>
      </c>
      <c r="M130" s="160" t="s">
        <v>353</v>
      </c>
      <c r="N130" s="160" t="s">
        <v>661</v>
      </c>
      <c r="P130" s="161" t="s">
        <v>349</v>
      </c>
      <c r="Q130" s="160" t="s">
        <v>355</v>
      </c>
      <c r="R130" s="160" t="s">
        <v>352</v>
      </c>
      <c r="S130" s="160" t="s">
        <v>352</v>
      </c>
      <c r="T130" s="160" t="s">
        <v>353</v>
      </c>
      <c r="U130" s="160" t="s">
        <v>357</v>
      </c>
      <c r="V130" s="172"/>
      <c r="X130" s="161" t="s">
        <v>349</v>
      </c>
      <c r="Y130" s="160" t="s">
        <v>1285</v>
      </c>
      <c r="Z130" s="160" t="s">
        <v>351</v>
      </c>
      <c r="AA130" s="160" t="s">
        <v>460</v>
      </c>
      <c r="AB130" s="160" t="s">
        <v>362</v>
      </c>
      <c r="AC130" s="160" t="s">
        <v>1378</v>
      </c>
      <c r="AE130" s="161" t="s">
        <v>349</v>
      </c>
      <c r="AF130" s="160" t="s">
        <v>364</v>
      </c>
      <c r="AG130" s="160" t="s">
        <v>356</v>
      </c>
      <c r="AH130" s="160" t="s">
        <v>460</v>
      </c>
      <c r="AI130" s="160" t="s">
        <v>365</v>
      </c>
      <c r="AJ130" s="160" t="s">
        <v>372</v>
      </c>
      <c r="AL130" s="161" t="s">
        <v>349</v>
      </c>
      <c r="AM130" s="160" t="s">
        <v>355</v>
      </c>
      <c r="AN130" s="160" t="s">
        <v>352</v>
      </c>
      <c r="AO130" s="160" t="s">
        <v>352</v>
      </c>
      <c r="AP130" s="160" t="s">
        <v>365</v>
      </c>
      <c r="AQ130" s="160" t="s">
        <v>665</v>
      </c>
      <c r="AR130" s="172"/>
      <c r="AT130" s="161" t="s">
        <v>349</v>
      </c>
      <c r="AU130" s="160" t="s">
        <v>1287</v>
      </c>
      <c r="AV130" s="160" t="s">
        <v>351</v>
      </c>
      <c r="AW130" s="160" t="s">
        <v>460</v>
      </c>
      <c r="AX130" s="160" t="s">
        <v>362</v>
      </c>
      <c r="AY130" s="160" t="s">
        <v>1379</v>
      </c>
      <c r="BA130" s="161" t="s">
        <v>349</v>
      </c>
      <c r="BB130" s="160" t="s">
        <v>371</v>
      </c>
      <c r="BC130" s="160" t="s">
        <v>356</v>
      </c>
      <c r="BD130" s="160" t="s">
        <v>460</v>
      </c>
      <c r="BE130" s="160" t="s">
        <v>365</v>
      </c>
      <c r="BF130" s="160" t="s">
        <v>427</v>
      </c>
      <c r="BH130" s="161" t="s">
        <v>349</v>
      </c>
      <c r="BI130" s="160" t="s">
        <v>364</v>
      </c>
      <c r="BJ130" s="160" t="s">
        <v>352</v>
      </c>
      <c r="BK130" s="160" t="s">
        <v>352</v>
      </c>
      <c r="BL130" s="160" t="s">
        <v>365</v>
      </c>
      <c r="BM130" s="160" t="s">
        <v>665</v>
      </c>
    </row>
    <row r="131" spans="1:65">
      <c r="V131" s="172"/>
      <c r="AR131" s="172"/>
    </row>
    <row r="132" spans="1:65" ht="12" customHeight="1">
      <c r="A132" s="165" t="s">
        <v>1380</v>
      </c>
      <c r="B132" s="165"/>
      <c r="C132" s="166"/>
      <c r="D132" s="166"/>
      <c r="E132" s="166"/>
      <c r="F132" s="166"/>
      <c r="G132" s="166"/>
      <c r="H132" s="166"/>
      <c r="I132" s="167"/>
      <c r="J132" s="166"/>
      <c r="K132" s="166"/>
      <c r="L132" s="166"/>
      <c r="M132" s="166"/>
      <c r="N132" s="166"/>
      <c r="O132" s="166"/>
      <c r="P132" s="167"/>
      <c r="Q132" s="166"/>
      <c r="R132" s="166"/>
      <c r="S132" s="166"/>
      <c r="T132" s="166"/>
      <c r="U132" s="166"/>
      <c r="V132" s="168"/>
      <c r="W132" s="166"/>
      <c r="X132" s="167"/>
      <c r="Y132" s="166"/>
      <c r="Z132" s="166"/>
      <c r="AA132" s="166"/>
      <c r="AB132" s="166"/>
      <c r="AC132" s="166"/>
      <c r="AD132" s="166"/>
      <c r="AE132" s="167"/>
      <c r="AF132" s="166"/>
      <c r="AG132" s="166"/>
      <c r="AH132" s="166"/>
      <c r="AI132" s="166"/>
      <c r="AJ132" s="166"/>
      <c r="AK132" s="166"/>
      <c r="AL132" s="167"/>
      <c r="AM132" s="166"/>
      <c r="AN132" s="166"/>
      <c r="AO132" s="166"/>
      <c r="AP132" s="166"/>
      <c r="AQ132" s="166"/>
      <c r="AR132" s="168"/>
      <c r="AS132" s="166"/>
      <c r="AT132" s="167"/>
      <c r="AU132" s="166"/>
      <c r="AV132" s="166"/>
      <c r="AW132" s="166"/>
      <c r="AX132" s="166"/>
      <c r="AY132" s="166"/>
      <c r="AZ132" s="166"/>
      <c r="BA132" s="167"/>
      <c r="BB132" s="166"/>
      <c r="BC132" s="166"/>
      <c r="BD132" s="166"/>
      <c r="BE132" s="166"/>
      <c r="BF132" s="166"/>
      <c r="BG132" s="166"/>
      <c r="BH132" s="167"/>
      <c r="BI132" s="166"/>
      <c r="BJ132" s="166"/>
      <c r="BK132" s="166"/>
      <c r="BL132" s="166"/>
      <c r="BM132" s="166"/>
    </row>
    <row r="133" spans="1:65" s="170" customFormat="1">
      <c r="A133" s="169"/>
      <c r="B133" s="169" t="s">
        <v>1381</v>
      </c>
      <c r="I133" s="169" t="s">
        <v>1382</v>
      </c>
      <c r="P133" s="169" t="s">
        <v>1383</v>
      </c>
      <c r="V133" s="171"/>
      <c r="X133" s="169" t="s">
        <v>1384</v>
      </c>
      <c r="AE133" s="169" t="s">
        <v>1385</v>
      </c>
      <c r="AL133" s="169" t="s">
        <v>1386</v>
      </c>
      <c r="AR133" s="171"/>
      <c r="AT133" s="169" t="s">
        <v>1387</v>
      </c>
      <c r="BA133" s="169" t="s">
        <v>1388</v>
      </c>
      <c r="BH133" s="169" t="s">
        <v>1389</v>
      </c>
    </row>
    <row r="134" spans="1:65">
      <c r="C134" s="160" t="s">
        <v>243</v>
      </c>
      <c r="D134" s="160" t="s">
        <v>23</v>
      </c>
      <c r="E134" s="160" t="s">
        <v>24</v>
      </c>
      <c r="F134" s="160" t="s">
        <v>244</v>
      </c>
      <c r="G134" s="160" t="s">
        <v>26</v>
      </c>
      <c r="J134" s="160" t="s">
        <v>243</v>
      </c>
      <c r="K134" s="160" t="s">
        <v>23</v>
      </c>
      <c r="L134" s="160" t="s">
        <v>24</v>
      </c>
      <c r="M134" s="160" t="s">
        <v>244</v>
      </c>
      <c r="N134" s="160" t="s">
        <v>26</v>
      </c>
      <c r="Q134" s="160" t="s">
        <v>243</v>
      </c>
      <c r="R134" s="160" t="s">
        <v>23</v>
      </c>
      <c r="S134" s="160" t="s">
        <v>24</v>
      </c>
      <c r="T134" s="160" t="s">
        <v>244</v>
      </c>
      <c r="U134" s="160" t="s">
        <v>26</v>
      </c>
      <c r="V134" s="172"/>
      <c r="Y134" s="160" t="s">
        <v>243</v>
      </c>
      <c r="Z134" s="160" t="s">
        <v>23</v>
      </c>
      <c r="AA134" s="160" t="s">
        <v>24</v>
      </c>
      <c r="AB134" s="160" t="s">
        <v>244</v>
      </c>
      <c r="AC134" s="160" t="s">
        <v>26</v>
      </c>
      <c r="AF134" s="160" t="s">
        <v>243</v>
      </c>
      <c r="AG134" s="160" t="s">
        <v>23</v>
      </c>
      <c r="AH134" s="160" t="s">
        <v>24</v>
      </c>
      <c r="AI134" s="160" t="s">
        <v>244</v>
      </c>
      <c r="AJ134" s="160" t="s">
        <v>26</v>
      </c>
      <c r="AM134" s="160" t="s">
        <v>243</v>
      </c>
      <c r="AN134" s="160" t="s">
        <v>23</v>
      </c>
      <c r="AO134" s="160" t="s">
        <v>24</v>
      </c>
      <c r="AP134" s="160" t="s">
        <v>244</v>
      </c>
      <c r="AQ134" s="160" t="s">
        <v>26</v>
      </c>
      <c r="AR134" s="172"/>
      <c r="AU134" s="160" t="s">
        <v>243</v>
      </c>
      <c r="AV134" s="160" t="s">
        <v>23</v>
      </c>
      <c r="AW134" s="160" t="s">
        <v>24</v>
      </c>
      <c r="AX134" s="160" t="s">
        <v>244</v>
      </c>
      <c r="AY134" s="160" t="s">
        <v>26</v>
      </c>
      <c r="BB134" s="160" t="s">
        <v>243</v>
      </c>
      <c r="BC134" s="160" t="s">
        <v>23</v>
      </c>
      <c r="BD134" s="160" t="s">
        <v>24</v>
      </c>
      <c r="BE134" s="160" t="s">
        <v>244</v>
      </c>
      <c r="BF134" s="160" t="s">
        <v>26</v>
      </c>
      <c r="BI134" s="160" t="s">
        <v>243</v>
      </c>
      <c r="BJ134" s="160" t="s">
        <v>23</v>
      </c>
      <c r="BK134" s="160" t="s">
        <v>24</v>
      </c>
      <c r="BL134" s="160" t="s">
        <v>244</v>
      </c>
      <c r="BM134" s="160" t="s">
        <v>26</v>
      </c>
    </row>
    <row r="135" spans="1:65">
      <c r="B135" s="161" t="s">
        <v>26</v>
      </c>
      <c r="C135" s="160" t="s">
        <v>1390</v>
      </c>
      <c r="D135" s="160" t="s">
        <v>1391</v>
      </c>
      <c r="E135" s="160" t="s">
        <v>1392</v>
      </c>
      <c r="F135" s="160" t="s">
        <v>248</v>
      </c>
      <c r="G135" s="160" t="s">
        <v>1393</v>
      </c>
      <c r="I135" s="161" t="s">
        <v>26</v>
      </c>
      <c r="J135" s="160" t="s">
        <v>1394</v>
      </c>
      <c r="K135" s="160" t="s">
        <v>1395</v>
      </c>
      <c r="L135" s="160" t="s">
        <v>1396</v>
      </c>
      <c r="M135" s="160" t="s">
        <v>253</v>
      </c>
      <c r="N135" s="160" t="s">
        <v>1397</v>
      </c>
      <c r="P135" s="161" t="s">
        <v>26</v>
      </c>
      <c r="Q135" s="160" t="s">
        <v>1398</v>
      </c>
      <c r="R135" s="160" t="s">
        <v>1399</v>
      </c>
      <c r="S135" s="160" t="s">
        <v>1400</v>
      </c>
      <c r="T135" s="160" t="s">
        <v>253</v>
      </c>
      <c r="U135" s="160" t="s">
        <v>1401</v>
      </c>
      <c r="V135" s="172"/>
      <c r="X135" s="161" t="s">
        <v>26</v>
      </c>
      <c r="Y135" s="160" t="s">
        <v>1402</v>
      </c>
      <c r="Z135" s="160" t="s">
        <v>1403</v>
      </c>
      <c r="AA135" s="160" t="s">
        <v>1404</v>
      </c>
      <c r="AB135" s="160" t="s">
        <v>262</v>
      </c>
      <c r="AC135" s="160" t="s">
        <v>1405</v>
      </c>
      <c r="AE135" s="161" t="s">
        <v>26</v>
      </c>
      <c r="AF135" s="160" t="s">
        <v>1406</v>
      </c>
      <c r="AG135" s="160" t="s">
        <v>1407</v>
      </c>
      <c r="AH135" s="160" t="s">
        <v>1408</v>
      </c>
      <c r="AI135" s="160" t="s">
        <v>267</v>
      </c>
      <c r="AJ135" s="160" t="s">
        <v>1409</v>
      </c>
      <c r="AL135" s="161" t="s">
        <v>26</v>
      </c>
      <c r="AM135" s="160" t="s">
        <v>1360</v>
      </c>
      <c r="AN135" s="160" t="s">
        <v>1399</v>
      </c>
      <c r="AO135" s="160" t="s">
        <v>1400</v>
      </c>
      <c r="AP135" s="160" t="s">
        <v>267</v>
      </c>
      <c r="AQ135" s="160" t="s">
        <v>1410</v>
      </c>
      <c r="AR135" s="172"/>
      <c r="AT135" s="161" t="s">
        <v>26</v>
      </c>
      <c r="AU135" s="160" t="s">
        <v>1411</v>
      </c>
      <c r="AV135" s="160" t="s">
        <v>1412</v>
      </c>
      <c r="AW135" s="160" t="s">
        <v>1413</v>
      </c>
      <c r="AX135" s="160" t="s">
        <v>262</v>
      </c>
      <c r="AY135" s="160" t="s">
        <v>1414</v>
      </c>
      <c r="BA135" s="161" t="s">
        <v>26</v>
      </c>
      <c r="BB135" s="160" t="s">
        <v>1238</v>
      </c>
      <c r="BC135" s="160" t="s">
        <v>1415</v>
      </c>
      <c r="BD135" s="160" t="s">
        <v>1416</v>
      </c>
      <c r="BE135" s="160" t="s">
        <v>267</v>
      </c>
      <c r="BF135" s="160" t="s">
        <v>1417</v>
      </c>
      <c r="BH135" s="161" t="s">
        <v>26</v>
      </c>
      <c r="BI135" s="160" t="s">
        <v>1242</v>
      </c>
      <c r="BJ135" s="160" t="s">
        <v>1399</v>
      </c>
      <c r="BK135" s="160" t="s">
        <v>1400</v>
      </c>
      <c r="BL135" s="160" t="s">
        <v>267</v>
      </c>
      <c r="BM135" s="160" t="s">
        <v>1418</v>
      </c>
    </row>
    <row r="136" spans="1:65">
      <c r="B136" s="161" t="s">
        <v>281</v>
      </c>
      <c r="C136" s="160" t="s">
        <v>1419</v>
      </c>
      <c r="D136" s="160" t="s">
        <v>1420</v>
      </c>
      <c r="E136" s="160" t="s">
        <v>1392</v>
      </c>
      <c r="F136" s="160" t="s">
        <v>285</v>
      </c>
      <c r="G136" s="160" t="s">
        <v>1421</v>
      </c>
      <c r="I136" s="161" t="s">
        <v>281</v>
      </c>
      <c r="J136" s="160" t="s">
        <v>1248</v>
      </c>
      <c r="K136" s="160" t="s">
        <v>1422</v>
      </c>
      <c r="L136" s="160" t="s">
        <v>1423</v>
      </c>
      <c r="M136" s="160" t="s">
        <v>289</v>
      </c>
      <c r="N136" s="160" t="s">
        <v>1424</v>
      </c>
      <c r="P136" s="161" t="s">
        <v>281</v>
      </c>
      <c r="Q136" s="160" t="s">
        <v>1251</v>
      </c>
      <c r="R136" s="160" t="s">
        <v>1425</v>
      </c>
      <c r="S136" s="160" t="s">
        <v>1426</v>
      </c>
      <c r="T136" s="160" t="s">
        <v>289</v>
      </c>
      <c r="U136" s="160" t="s">
        <v>1427</v>
      </c>
      <c r="V136" s="172"/>
      <c r="X136" s="161" t="s">
        <v>281</v>
      </c>
      <c r="Y136" s="160" t="s">
        <v>1428</v>
      </c>
      <c r="Z136" s="160" t="s">
        <v>1429</v>
      </c>
      <c r="AA136" s="160" t="s">
        <v>1404</v>
      </c>
      <c r="AB136" s="160" t="s">
        <v>298</v>
      </c>
      <c r="AC136" s="160" t="s">
        <v>1430</v>
      </c>
      <c r="AE136" s="161" t="s">
        <v>281</v>
      </c>
      <c r="AF136" s="160" t="s">
        <v>1431</v>
      </c>
      <c r="AG136" s="160" t="s">
        <v>1432</v>
      </c>
      <c r="AH136" s="160" t="s">
        <v>1433</v>
      </c>
      <c r="AI136" s="160" t="s">
        <v>303</v>
      </c>
      <c r="AJ136" s="160" t="s">
        <v>1434</v>
      </c>
      <c r="AL136" s="161" t="s">
        <v>281</v>
      </c>
      <c r="AM136" s="160" t="s">
        <v>1261</v>
      </c>
      <c r="AN136" s="160" t="s">
        <v>1425</v>
      </c>
      <c r="AO136" s="160" t="s">
        <v>1426</v>
      </c>
      <c r="AP136" s="160" t="s">
        <v>303</v>
      </c>
      <c r="AQ136" s="160" t="s">
        <v>1435</v>
      </c>
      <c r="AR136" s="172"/>
      <c r="AT136" s="161" t="s">
        <v>281</v>
      </c>
      <c r="AU136" s="160" t="s">
        <v>1436</v>
      </c>
      <c r="AV136" s="160" t="s">
        <v>1437</v>
      </c>
      <c r="AW136" s="160" t="s">
        <v>1413</v>
      </c>
      <c r="AX136" s="160" t="s">
        <v>298</v>
      </c>
      <c r="AY136" s="160" t="s">
        <v>1438</v>
      </c>
      <c r="BA136" s="161" t="s">
        <v>281</v>
      </c>
      <c r="BB136" s="160" t="s">
        <v>1439</v>
      </c>
      <c r="BC136" s="160" t="s">
        <v>1440</v>
      </c>
      <c r="BD136" s="160" t="s">
        <v>1441</v>
      </c>
      <c r="BE136" s="160" t="s">
        <v>303</v>
      </c>
      <c r="BF136" s="160" t="s">
        <v>1442</v>
      </c>
      <c r="BH136" s="161" t="s">
        <v>281</v>
      </c>
      <c r="BI136" s="160" t="s">
        <v>1443</v>
      </c>
      <c r="BJ136" s="160" t="s">
        <v>1425</v>
      </c>
      <c r="BK136" s="160" t="s">
        <v>1426</v>
      </c>
      <c r="BL136" s="160" t="s">
        <v>303</v>
      </c>
      <c r="BM136" s="160" t="s">
        <v>1444</v>
      </c>
    </row>
    <row r="137" spans="1:65">
      <c r="B137" s="161" t="s">
        <v>317</v>
      </c>
      <c r="C137" s="160" t="s">
        <v>1445</v>
      </c>
      <c r="D137" s="160" t="s">
        <v>1446</v>
      </c>
      <c r="E137" s="160" t="s">
        <v>358</v>
      </c>
      <c r="F137" s="160" t="s">
        <v>321</v>
      </c>
      <c r="G137" s="160" t="s">
        <v>1447</v>
      </c>
      <c r="I137" s="161" t="s">
        <v>317</v>
      </c>
      <c r="J137" s="160" t="s">
        <v>1189</v>
      </c>
      <c r="K137" s="160" t="s">
        <v>1195</v>
      </c>
      <c r="L137" s="160" t="s">
        <v>1448</v>
      </c>
      <c r="M137" s="160" t="s">
        <v>324</v>
      </c>
      <c r="N137" s="160" t="s">
        <v>1449</v>
      </c>
      <c r="P137" s="161" t="s">
        <v>317</v>
      </c>
      <c r="Q137" s="160" t="s">
        <v>1274</v>
      </c>
      <c r="R137" s="160" t="s">
        <v>658</v>
      </c>
      <c r="S137" s="160" t="s">
        <v>1450</v>
      </c>
      <c r="T137" s="160" t="s">
        <v>324</v>
      </c>
      <c r="U137" s="160" t="s">
        <v>1451</v>
      </c>
      <c r="V137" s="172"/>
      <c r="X137" s="161" t="s">
        <v>317</v>
      </c>
      <c r="Y137" s="160" t="s">
        <v>1452</v>
      </c>
      <c r="Z137" s="160" t="s">
        <v>1012</v>
      </c>
      <c r="AA137" s="160" t="s">
        <v>1450</v>
      </c>
      <c r="AB137" s="160" t="s">
        <v>333</v>
      </c>
      <c r="AC137" s="160" t="s">
        <v>1453</v>
      </c>
      <c r="AE137" s="161" t="s">
        <v>317</v>
      </c>
      <c r="AF137" s="160" t="s">
        <v>347</v>
      </c>
      <c r="AG137" s="160" t="s">
        <v>1012</v>
      </c>
      <c r="AH137" s="160" t="s">
        <v>1448</v>
      </c>
      <c r="AI137" s="160" t="s">
        <v>336</v>
      </c>
      <c r="AJ137" s="160" t="s">
        <v>1454</v>
      </c>
      <c r="AL137" s="161" t="s">
        <v>317</v>
      </c>
      <c r="AM137" s="160" t="s">
        <v>1189</v>
      </c>
      <c r="AN137" s="160" t="s">
        <v>658</v>
      </c>
      <c r="AO137" s="160" t="s">
        <v>1450</v>
      </c>
      <c r="AP137" s="160" t="s">
        <v>336</v>
      </c>
      <c r="AQ137" s="160" t="s">
        <v>1455</v>
      </c>
      <c r="AR137" s="172"/>
      <c r="AT137" s="161" t="s">
        <v>317</v>
      </c>
      <c r="AU137" s="160" t="s">
        <v>1456</v>
      </c>
      <c r="AV137" s="160" t="s">
        <v>1457</v>
      </c>
      <c r="AW137" s="160" t="s">
        <v>1450</v>
      </c>
      <c r="AX137" s="160" t="s">
        <v>333</v>
      </c>
      <c r="AY137" s="160" t="s">
        <v>1458</v>
      </c>
      <c r="BA137" s="161" t="s">
        <v>317</v>
      </c>
      <c r="BB137" s="160" t="s">
        <v>922</v>
      </c>
      <c r="BC137" s="160" t="s">
        <v>1009</v>
      </c>
      <c r="BD137" s="160" t="s">
        <v>1448</v>
      </c>
      <c r="BE137" s="160" t="s">
        <v>336</v>
      </c>
      <c r="BF137" s="160" t="s">
        <v>654</v>
      </c>
      <c r="BH137" s="161" t="s">
        <v>317</v>
      </c>
      <c r="BI137" s="160" t="s">
        <v>326</v>
      </c>
      <c r="BJ137" s="160" t="s">
        <v>658</v>
      </c>
      <c r="BK137" s="160" t="s">
        <v>1450</v>
      </c>
      <c r="BL137" s="160" t="s">
        <v>336</v>
      </c>
      <c r="BM137" s="160" t="s">
        <v>546</v>
      </c>
    </row>
    <row r="138" spans="1:65">
      <c r="B138" s="161" t="s">
        <v>349</v>
      </c>
      <c r="C138" s="160" t="s">
        <v>350</v>
      </c>
      <c r="D138" s="160" t="s">
        <v>662</v>
      </c>
      <c r="E138" s="160" t="s">
        <v>358</v>
      </c>
      <c r="F138" s="160" t="s">
        <v>353</v>
      </c>
      <c r="G138" s="160" t="s">
        <v>660</v>
      </c>
      <c r="I138" s="161" t="s">
        <v>349</v>
      </c>
      <c r="J138" s="160" t="s">
        <v>355</v>
      </c>
      <c r="K138" s="160" t="s">
        <v>351</v>
      </c>
      <c r="L138" s="160" t="s">
        <v>358</v>
      </c>
      <c r="M138" s="160" t="s">
        <v>353</v>
      </c>
      <c r="N138" s="160" t="s">
        <v>1284</v>
      </c>
      <c r="P138" s="161" t="s">
        <v>349</v>
      </c>
      <c r="Q138" s="160" t="s">
        <v>355</v>
      </c>
      <c r="R138" s="160" t="s">
        <v>356</v>
      </c>
      <c r="S138" s="160" t="s">
        <v>358</v>
      </c>
      <c r="T138" s="160" t="s">
        <v>353</v>
      </c>
      <c r="U138" s="160" t="s">
        <v>1459</v>
      </c>
      <c r="V138" s="172"/>
      <c r="X138" s="161" t="s">
        <v>349</v>
      </c>
      <c r="Y138" s="160" t="s">
        <v>1285</v>
      </c>
      <c r="Z138" s="160" t="s">
        <v>938</v>
      </c>
      <c r="AA138" s="160" t="s">
        <v>358</v>
      </c>
      <c r="AB138" s="160" t="s">
        <v>362</v>
      </c>
      <c r="AC138" s="160" t="s">
        <v>1460</v>
      </c>
      <c r="AE138" s="161" t="s">
        <v>349</v>
      </c>
      <c r="AF138" s="160" t="s">
        <v>364</v>
      </c>
      <c r="AG138" s="160" t="s">
        <v>327</v>
      </c>
      <c r="AH138" s="160" t="s">
        <v>358</v>
      </c>
      <c r="AI138" s="160" t="s">
        <v>365</v>
      </c>
      <c r="AJ138" s="160" t="s">
        <v>1461</v>
      </c>
      <c r="AL138" s="161" t="s">
        <v>349</v>
      </c>
      <c r="AM138" s="160" t="s">
        <v>355</v>
      </c>
      <c r="AN138" s="160" t="s">
        <v>356</v>
      </c>
      <c r="AO138" s="160" t="s">
        <v>358</v>
      </c>
      <c r="AP138" s="160" t="s">
        <v>365</v>
      </c>
      <c r="AQ138" s="160" t="s">
        <v>1462</v>
      </c>
      <c r="AR138" s="172"/>
      <c r="AT138" s="161" t="s">
        <v>349</v>
      </c>
      <c r="AU138" s="160" t="s">
        <v>1287</v>
      </c>
      <c r="AV138" s="160" t="s">
        <v>938</v>
      </c>
      <c r="AW138" s="160" t="s">
        <v>358</v>
      </c>
      <c r="AX138" s="160" t="s">
        <v>362</v>
      </c>
      <c r="AY138" s="160" t="s">
        <v>1463</v>
      </c>
      <c r="BA138" s="161" t="s">
        <v>349</v>
      </c>
      <c r="BB138" s="160" t="s">
        <v>371</v>
      </c>
      <c r="BC138" s="160" t="s">
        <v>1464</v>
      </c>
      <c r="BD138" s="160" t="s">
        <v>358</v>
      </c>
      <c r="BE138" s="160" t="s">
        <v>365</v>
      </c>
      <c r="BF138" s="160" t="s">
        <v>1461</v>
      </c>
      <c r="BH138" s="161" t="s">
        <v>349</v>
      </c>
      <c r="BI138" s="160" t="s">
        <v>364</v>
      </c>
      <c r="BJ138" s="160" t="s">
        <v>356</v>
      </c>
      <c r="BK138" s="160" t="s">
        <v>358</v>
      </c>
      <c r="BL138" s="160" t="s">
        <v>365</v>
      </c>
      <c r="BM138" s="160" t="s">
        <v>367</v>
      </c>
    </row>
    <row r="139" spans="1:65">
      <c r="V139" s="172"/>
      <c r="AR139" s="172"/>
    </row>
    <row r="140" spans="1:65" ht="12" customHeight="1">
      <c r="A140" s="165" t="s">
        <v>1465</v>
      </c>
      <c r="B140" s="165"/>
      <c r="C140" s="166"/>
      <c r="D140" s="166"/>
      <c r="E140" s="166"/>
      <c r="F140" s="166"/>
      <c r="G140" s="166"/>
      <c r="H140" s="166"/>
      <c r="I140" s="167"/>
      <c r="J140" s="166"/>
      <c r="K140" s="166"/>
      <c r="L140" s="166"/>
      <c r="M140" s="166"/>
      <c r="N140" s="166"/>
      <c r="O140" s="166"/>
      <c r="P140" s="167"/>
      <c r="Q140" s="166"/>
      <c r="R140" s="166"/>
      <c r="S140" s="166"/>
      <c r="T140" s="166"/>
      <c r="U140" s="166"/>
      <c r="V140" s="168"/>
      <c r="W140" s="166"/>
      <c r="X140" s="167"/>
      <c r="Y140" s="166"/>
      <c r="Z140" s="166"/>
      <c r="AA140" s="166"/>
      <c r="AB140" s="166"/>
      <c r="AC140" s="166"/>
      <c r="AD140" s="166"/>
      <c r="AE140" s="167"/>
      <c r="AF140" s="166"/>
      <c r="AG140" s="166"/>
      <c r="AH140" s="166"/>
      <c r="AI140" s="166"/>
      <c r="AJ140" s="166"/>
      <c r="AK140" s="166"/>
      <c r="AL140" s="167"/>
      <c r="AM140" s="166"/>
      <c r="AN140" s="166"/>
      <c r="AO140" s="166"/>
      <c r="AP140" s="166"/>
      <c r="AQ140" s="166"/>
      <c r="AR140" s="168"/>
      <c r="AS140" s="166"/>
      <c r="AT140" s="167"/>
      <c r="AU140" s="166"/>
      <c r="AV140" s="166"/>
      <c r="AW140" s="166"/>
      <c r="AX140" s="166"/>
      <c r="AY140" s="166"/>
      <c r="AZ140" s="166"/>
      <c r="BA140" s="167"/>
      <c r="BB140" s="166"/>
      <c r="BC140" s="166"/>
      <c r="BD140" s="166"/>
      <c r="BE140" s="166"/>
      <c r="BF140" s="166"/>
      <c r="BG140" s="166"/>
      <c r="BH140" s="167"/>
      <c r="BI140" s="166"/>
      <c r="BJ140" s="166"/>
      <c r="BK140" s="166"/>
      <c r="BL140" s="166"/>
      <c r="BM140" s="166"/>
    </row>
    <row r="141" spans="1:65" s="170" customFormat="1">
      <c r="A141" s="169"/>
      <c r="B141" s="169" t="s">
        <v>1466</v>
      </c>
      <c r="I141" s="169" t="s">
        <v>1467</v>
      </c>
      <c r="P141" s="169" t="s">
        <v>1468</v>
      </c>
      <c r="V141" s="171"/>
      <c r="X141" s="169" t="s">
        <v>1469</v>
      </c>
      <c r="AE141" s="169" t="s">
        <v>1470</v>
      </c>
      <c r="AL141" s="169" t="s">
        <v>1471</v>
      </c>
      <c r="AR141" s="171"/>
      <c r="AT141" s="169" t="s">
        <v>1472</v>
      </c>
      <c r="BA141" s="169" t="s">
        <v>1473</v>
      </c>
      <c r="BH141" s="169" t="s">
        <v>1474</v>
      </c>
    </row>
    <row r="142" spans="1:65">
      <c r="C142" s="160" t="s">
        <v>243</v>
      </c>
      <c r="D142" s="160" t="s">
        <v>23</v>
      </c>
      <c r="E142" s="160" t="s">
        <v>24</v>
      </c>
      <c r="F142" s="160" t="s">
        <v>244</v>
      </c>
      <c r="G142" s="160" t="s">
        <v>26</v>
      </c>
      <c r="J142" s="160" t="s">
        <v>243</v>
      </c>
      <c r="K142" s="160" t="s">
        <v>23</v>
      </c>
      <c r="L142" s="160" t="s">
        <v>24</v>
      </c>
      <c r="M142" s="160" t="s">
        <v>244</v>
      </c>
      <c r="N142" s="160" t="s">
        <v>26</v>
      </c>
      <c r="Q142" s="160" t="s">
        <v>243</v>
      </c>
      <c r="R142" s="160" t="s">
        <v>23</v>
      </c>
      <c r="S142" s="160" t="s">
        <v>24</v>
      </c>
      <c r="T142" s="160" t="s">
        <v>244</v>
      </c>
      <c r="U142" s="160" t="s">
        <v>26</v>
      </c>
      <c r="V142" s="172"/>
      <c r="Y142" s="160" t="s">
        <v>243</v>
      </c>
      <c r="Z142" s="160" t="s">
        <v>23</v>
      </c>
      <c r="AA142" s="160" t="s">
        <v>24</v>
      </c>
      <c r="AB142" s="160" t="s">
        <v>244</v>
      </c>
      <c r="AC142" s="160" t="s">
        <v>26</v>
      </c>
      <c r="AF142" s="160" t="s">
        <v>243</v>
      </c>
      <c r="AG142" s="160" t="s">
        <v>23</v>
      </c>
      <c r="AH142" s="160" t="s">
        <v>24</v>
      </c>
      <c r="AI142" s="160" t="s">
        <v>244</v>
      </c>
      <c r="AJ142" s="160" t="s">
        <v>26</v>
      </c>
      <c r="AM142" s="160" t="s">
        <v>243</v>
      </c>
      <c r="AN142" s="160" t="s">
        <v>23</v>
      </c>
      <c r="AO142" s="160" t="s">
        <v>24</v>
      </c>
      <c r="AP142" s="160" t="s">
        <v>244</v>
      </c>
      <c r="AQ142" s="160" t="s">
        <v>26</v>
      </c>
      <c r="AR142" s="172"/>
      <c r="AU142" s="160" t="s">
        <v>243</v>
      </c>
      <c r="AV142" s="160" t="s">
        <v>23</v>
      </c>
      <c r="AW142" s="160" t="s">
        <v>24</v>
      </c>
      <c r="AX142" s="160" t="s">
        <v>244</v>
      </c>
      <c r="AY142" s="160" t="s">
        <v>26</v>
      </c>
      <c r="BB142" s="160" t="s">
        <v>243</v>
      </c>
      <c r="BC142" s="160" t="s">
        <v>23</v>
      </c>
      <c r="BD142" s="160" t="s">
        <v>24</v>
      </c>
      <c r="BE142" s="160" t="s">
        <v>244</v>
      </c>
      <c r="BF142" s="160" t="s">
        <v>26</v>
      </c>
      <c r="BI142" s="160" t="s">
        <v>243</v>
      </c>
      <c r="BJ142" s="160" t="s">
        <v>23</v>
      </c>
      <c r="BK142" s="160" t="s">
        <v>24</v>
      </c>
      <c r="BL142" s="160" t="s">
        <v>244</v>
      </c>
      <c r="BM142" s="160" t="s">
        <v>26</v>
      </c>
    </row>
    <row r="143" spans="1:65">
      <c r="B143" s="161" t="s">
        <v>26</v>
      </c>
      <c r="C143" s="160" t="s">
        <v>1475</v>
      </c>
      <c r="D143" s="160" t="s">
        <v>1476</v>
      </c>
      <c r="E143" s="160" t="s">
        <v>1477</v>
      </c>
      <c r="F143" s="160" t="s">
        <v>1478</v>
      </c>
      <c r="G143" s="160" t="s">
        <v>1479</v>
      </c>
      <c r="I143" s="161" t="s">
        <v>26</v>
      </c>
      <c r="J143" s="160" t="s">
        <v>1480</v>
      </c>
      <c r="K143" s="160" t="s">
        <v>1481</v>
      </c>
      <c r="L143" s="160" t="s">
        <v>1482</v>
      </c>
      <c r="M143" s="160" t="s">
        <v>1483</v>
      </c>
      <c r="N143" s="160" t="s">
        <v>1484</v>
      </c>
      <c r="P143" s="161" t="s">
        <v>26</v>
      </c>
      <c r="Q143" s="160" t="s">
        <v>1480</v>
      </c>
      <c r="R143" s="160" t="s">
        <v>1481</v>
      </c>
      <c r="S143" s="160" t="s">
        <v>1482</v>
      </c>
      <c r="T143" s="160" t="s">
        <v>1483</v>
      </c>
      <c r="U143" s="160" t="s">
        <v>1484</v>
      </c>
      <c r="V143" s="172"/>
      <c r="X143" s="161" t="s">
        <v>26</v>
      </c>
      <c r="Y143" s="160" t="s">
        <v>1485</v>
      </c>
      <c r="Z143" s="160" t="s">
        <v>1486</v>
      </c>
      <c r="AA143" s="160" t="s">
        <v>1487</v>
      </c>
      <c r="AB143" s="160" t="s">
        <v>1488</v>
      </c>
      <c r="AC143" s="160" t="s">
        <v>1489</v>
      </c>
      <c r="AE143" s="161" t="s">
        <v>26</v>
      </c>
      <c r="AF143" s="160" t="s">
        <v>1490</v>
      </c>
      <c r="AG143" s="160" t="s">
        <v>1491</v>
      </c>
      <c r="AH143" s="160" t="s">
        <v>1492</v>
      </c>
      <c r="AI143" s="160" t="s">
        <v>1493</v>
      </c>
      <c r="AJ143" s="160" t="s">
        <v>1494</v>
      </c>
      <c r="AL143" s="161" t="s">
        <v>26</v>
      </c>
      <c r="AM143" s="160" t="s">
        <v>1495</v>
      </c>
      <c r="AN143" s="160" t="s">
        <v>256</v>
      </c>
      <c r="AO143" s="160" t="s">
        <v>257</v>
      </c>
      <c r="AP143" s="160" t="s">
        <v>1493</v>
      </c>
      <c r="AQ143" s="160" t="s">
        <v>1496</v>
      </c>
      <c r="AR143" s="172"/>
      <c r="AT143" s="161" t="s">
        <v>26</v>
      </c>
      <c r="AU143" s="160" t="s">
        <v>1497</v>
      </c>
      <c r="AV143" s="160" t="s">
        <v>1498</v>
      </c>
      <c r="AW143" s="160" t="s">
        <v>1499</v>
      </c>
      <c r="AX143" s="160" t="s">
        <v>1488</v>
      </c>
      <c r="AY143" s="160" t="s">
        <v>1500</v>
      </c>
      <c r="BA143" s="161" t="s">
        <v>26</v>
      </c>
      <c r="BB143" s="160" t="s">
        <v>1501</v>
      </c>
      <c r="BC143" s="160" t="s">
        <v>1502</v>
      </c>
      <c r="BD143" s="160" t="s">
        <v>1503</v>
      </c>
      <c r="BE143" s="160" t="s">
        <v>1493</v>
      </c>
      <c r="BF143" s="160" t="s">
        <v>1504</v>
      </c>
      <c r="BH143" s="161" t="s">
        <v>26</v>
      </c>
      <c r="BI143" s="160" t="s">
        <v>1505</v>
      </c>
      <c r="BJ143" s="160" t="s">
        <v>256</v>
      </c>
      <c r="BK143" s="160" t="s">
        <v>257</v>
      </c>
      <c r="BL143" s="160" t="s">
        <v>1493</v>
      </c>
      <c r="BM143" s="160" t="s">
        <v>1506</v>
      </c>
    </row>
    <row r="144" spans="1:65">
      <c r="B144" s="161" t="s">
        <v>281</v>
      </c>
      <c r="C144" s="160" t="s">
        <v>1507</v>
      </c>
      <c r="D144" s="160" t="s">
        <v>1508</v>
      </c>
      <c r="E144" s="160" t="s">
        <v>1509</v>
      </c>
      <c r="F144" s="160" t="s">
        <v>1510</v>
      </c>
      <c r="G144" s="160" t="s">
        <v>1511</v>
      </c>
      <c r="I144" s="161" t="s">
        <v>281</v>
      </c>
      <c r="J144" s="160" t="s">
        <v>1512</v>
      </c>
      <c r="K144" s="160" t="s">
        <v>1513</v>
      </c>
      <c r="L144" s="160" t="s">
        <v>1514</v>
      </c>
      <c r="M144" s="160" t="s">
        <v>1515</v>
      </c>
      <c r="N144" s="160" t="s">
        <v>1516</v>
      </c>
      <c r="P144" s="161" t="s">
        <v>281</v>
      </c>
      <c r="Q144" s="160" t="s">
        <v>1512</v>
      </c>
      <c r="R144" s="160" t="s">
        <v>1513</v>
      </c>
      <c r="S144" s="160" t="s">
        <v>1514</v>
      </c>
      <c r="T144" s="160" t="s">
        <v>1515</v>
      </c>
      <c r="U144" s="160" t="s">
        <v>1516</v>
      </c>
      <c r="V144" s="172"/>
      <c r="X144" s="161" t="s">
        <v>281</v>
      </c>
      <c r="Y144" s="160" t="s">
        <v>1517</v>
      </c>
      <c r="Z144" s="160" t="s">
        <v>521</v>
      </c>
      <c r="AA144" s="160" t="s">
        <v>1518</v>
      </c>
      <c r="AB144" s="160" t="s">
        <v>1519</v>
      </c>
      <c r="AC144" s="160" t="s">
        <v>1520</v>
      </c>
      <c r="AE144" s="161" t="s">
        <v>281</v>
      </c>
      <c r="AF144" s="160" t="s">
        <v>250</v>
      </c>
      <c r="AG144" s="160" t="s">
        <v>706</v>
      </c>
      <c r="AH144" s="160" t="s">
        <v>1521</v>
      </c>
      <c r="AI144" s="160" t="s">
        <v>1522</v>
      </c>
      <c r="AJ144" s="160" t="s">
        <v>1523</v>
      </c>
      <c r="AL144" s="161" t="s">
        <v>281</v>
      </c>
      <c r="AM144" s="160" t="s">
        <v>1524</v>
      </c>
      <c r="AN144" s="160" t="s">
        <v>292</v>
      </c>
      <c r="AO144" s="160" t="s">
        <v>293</v>
      </c>
      <c r="AP144" s="160" t="s">
        <v>1522</v>
      </c>
      <c r="AQ144" s="160" t="s">
        <v>1525</v>
      </c>
      <c r="AR144" s="172"/>
      <c r="AT144" s="161" t="s">
        <v>281</v>
      </c>
      <c r="AU144" s="160" t="s">
        <v>1526</v>
      </c>
      <c r="AV144" s="160" t="s">
        <v>283</v>
      </c>
      <c r="AW144" s="160" t="s">
        <v>1527</v>
      </c>
      <c r="AX144" s="160" t="s">
        <v>1519</v>
      </c>
      <c r="AY144" s="160" t="s">
        <v>1528</v>
      </c>
      <c r="BA144" s="161" t="s">
        <v>281</v>
      </c>
      <c r="BB144" s="160" t="s">
        <v>1529</v>
      </c>
      <c r="BC144" s="160" t="s">
        <v>1530</v>
      </c>
      <c r="BD144" s="160" t="s">
        <v>1531</v>
      </c>
      <c r="BE144" s="160" t="s">
        <v>1522</v>
      </c>
      <c r="BF144" s="160" t="s">
        <v>1532</v>
      </c>
      <c r="BH144" s="161" t="s">
        <v>281</v>
      </c>
      <c r="BI144" s="160" t="s">
        <v>1533</v>
      </c>
      <c r="BJ144" s="160" t="s">
        <v>292</v>
      </c>
      <c r="BK144" s="160" t="s">
        <v>293</v>
      </c>
      <c r="BL144" s="160" t="s">
        <v>1522</v>
      </c>
      <c r="BM144" s="160" t="s">
        <v>1534</v>
      </c>
    </row>
    <row r="145" spans="1:65">
      <c r="B145" s="161" t="s">
        <v>317</v>
      </c>
      <c r="C145" s="160" t="s">
        <v>338</v>
      </c>
      <c r="D145" s="160" t="s">
        <v>327</v>
      </c>
      <c r="E145" s="160" t="s">
        <v>722</v>
      </c>
      <c r="F145" s="160" t="s">
        <v>1535</v>
      </c>
      <c r="G145" s="160" t="s">
        <v>1536</v>
      </c>
      <c r="I145" s="161" t="s">
        <v>317</v>
      </c>
      <c r="J145" s="160" t="s">
        <v>338</v>
      </c>
      <c r="K145" s="160" t="s">
        <v>327</v>
      </c>
      <c r="L145" s="160" t="s">
        <v>328</v>
      </c>
      <c r="M145" s="160" t="s">
        <v>1537</v>
      </c>
      <c r="N145" s="160" t="s">
        <v>1538</v>
      </c>
      <c r="P145" s="161" t="s">
        <v>317</v>
      </c>
      <c r="Q145" s="160" t="s">
        <v>338</v>
      </c>
      <c r="R145" s="160" t="s">
        <v>327</v>
      </c>
      <c r="S145" s="160" t="s">
        <v>328</v>
      </c>
      <c r="T145" s="160" t="s">
        <v>1537</v>
      </c>
      <c r="U145" s="160" t="s">
        <v>1538</v>
      </c>
      <c r="V145" s="172"/>
      <c r="X145" s="161" t="s">
        <v>317</v>
      </c>
      <c r="Y145" s="160" t="s">
        <v>335</v>
      </c>
      <c r="Z145" s="160" t="s">
        <v>369</v>
      </c>
      <c r="AA145" s="160" t="s">
        <v>781</v>
      </c>
      <c r="AB145" s="160" t="s">
        <v>1539</v>
      </c>
      <c r="AC145" s="160" t="s">
        <v>1540</v>
      </c>
      <c r="AE145" s="161" t="s">
        <v>317</v>
      </c>
      <c r="AF145" s="160" t="s">
        <v>1541</v>
      </c>
      <c r="AG145" s="160" t="s">
        <v>369</v>
      </c>
      <c r="AH145" s="160" t="s">
        <v>781</v>
      </c>
      <c r="AI145" s="160" t="s">
        <v>1542</v>
      </c>
      <c r="AJ145" s="160" t="s">
        <v>1543</v>
      </c>
      <c r="AL145" s="161" t="s">
        <v>317</v>
      </c>
      <c r="AM145" s="160" t="s">
        <v>347</v>
      </c>
      <c r="AN145" s="160" t="s">
        <v>327</v>
      </c>
      <c r="AO145" s="160" t="s">
        <v>328</v>
      </c>
      <c r="AP145" s="160" t="s">
        <v>1542</v>
      </c>
      <c r="AQ145" s="160" t="s">
        <v>1543</v>
      </c>
      <c r="AR145" s="172"/>
      <c r="AT145" s="161" t="s">
        <v>317</v>
      </c>
      <c r="AU145" s="160" t="s">
        <v>1544</v>
      </c>
      <c r="AV145" s="160" t="s">
        <v>319</v>
      </c>
      <c r="AW145" s="160" t="s">
        <v>320</v>
      </c>
      <c r="AX145" s="160" t="s">
        <v>1539</v>
      </c>
      <c r="AY145" s="160" t="s">
        <v>1545</v>
      </c>
      <c r="BA145" s="161" t="s">
        <v>317</v>
      </c>
      <c r="BB145" s="160" t="s">
        <v>931</v>
      </c>
      <c r="BC145" s="160" t="s">
        <v>319</v>
      </c>
      <c r="BD145" s="160" t="s">
        <v>320</v>
      </c>
      <c r="BE145" s="160" t="s">
        <v>1542</v>
      </c>
      <c r="BF145" s="160" t="s">
        <v>1546</v>
      </c>
      <c r="BH145" s="161" t="s">
        <v>317</v>
      </c>
      <c r="BI145" s="160" t="s">
        <v>1541</v>
      </c>
      <c r="BJ145" s="160" t="s">
        <v>327</v>
      </c>
      <c r="BK145" s="160" t="s">
        <v>328</v>
      </c>
      <c r="BL145" s="160" t="s">
        <v>1542</v>
      </c>
      <c r="BM145" s="160" t="s">
        <v>1543</v>
      </c>
    </row>
    <row r="146" spans="1:65">
      <c r="B146" s="161" t="s">
        <v>349</v>
      </c>
      <c r="C146" s="160" t="s">
        <v>1547</v>
      </c>
      <c r="D146" s="160" t="s">
        <v>356</v>
      </c>
      <c r="E146" s="160" t="s">
        <v>358</v>
      </c>
      <c r="F146" s="160" t="s">
        <v>1548</v>
      </c>
      <c r="G146" s="160" t="s">
        <v>1549</v>
      </c>
      <c r="I146" s="161" t="s">
        <v>349</v>
      </c>
      <c r="J146" s="160" t="s">
        <v>355</v>
      </c>
      <c r="K146" s="160" t="s">
        <v>356</v>
      </c>
      <c r="L146" s="160" t="s">
        <v>358</v>
      </c>
      <c r="M146" s="160" t="s">
        <v>1548</v>
      </c>
      <c r="N146" s="160" t="s">
        <v>1550</v>
      </c>
      <c r="P146" s="161" t="s">
        <v>349</v>
      </c>
      <c r="Q146" s="160" t="s">
        <v>355</v>
      </c>
      <c r="R146" s="160" t="s">
        <v>356</v>
      </c>
      <c r="S146" s="160" t="s">
        <v>358</v>
      </c>
      <c r="T146" s="160" t="s">
        <v>1548</v>
      </c>
      <c r="U146" s="160" t="s">
        <v>1550</v>
      </c>
      <c r="V146" s="172"/>
      <c r="X146" s="161" t="s">
        <v>349</v>
      </c>
      <c r="Y146" s="160" t="s">
        <v>1551</v>
      </c>
      <c r="Z146" s="160" t="s">
        <v>351</v>
      </c>
      <c r="AA146" s="160" t="s">
        <v>352</v>
      </c>
      <c r="AB146" s="160" t="s">
        <v>1552</v>
      </c>
      <c r="AC146" s="160" t="s">
        <v>1553</v>
      </c>
      <c r="AE146" s="161" t="s">
        <v>349</v>
      </c>
      <c r="AF146" s="160" t="s">
        <v>364</v>
      </c>
      <c r="AG146" s="160" t="s">
        <v>356</v>
      </c>
      <c r="AH146" s="160" t="s">
        <v>358</v>
      </c>
      <c r="AI146" s="160" t="s">
        <v>1552</v>
      </c>
      <c r="AJ146" s="160" t="s">
        <v>372</v>
      </c>
      <c r="AL146" s="161" t="s">
        <v>349</v>
      </c>
      <c r="AM146" s="160" t="s">
        <v>355</v>
      </c>
      <c r="AN146" s="160" t="s">
        <v>356</v>
      </c>
      <c r="AO146" s="160" t="s">
        <v>358</v>
      </c>
      <c r="AP146" s="160" t="s">
        <v>1552</v>
      </c>
      <c r="AQ146" s="160" t="s">
        <v>372</v>
      </c>
      <c r="AR146" s="172"/>
      <c r="AT146" s="161" t="s">
        <v>349</v>
      </c>
      <c r="AU146" s="160" t="s">
        <v>1554</v>
      </c>
      <c r="AV146" s="160" t="s">
        <v>351</v>
      </c>
      <c r="AW146" s="160" t="s">
        <v>352</v>
      </c>
      <c r="AX146" s="160" t="s">
        <v>1552</v>
      </c>
      <c r="AY146" s="160" t="s">
        <v>1555</v>
      </c>
      <c r="BA146" s="161" t="s">
        <v>349</v>
      </c>
      <c r="BB146" s="160" t="s">
        <v>364</v>
      </c>
      <c r="BC146" s="160" t="s">
        <v>356</v>
      </c>
      <c r="BD146" s="160" t="s">
        <v>352</v>
      </c>
      <c r="BE146" s="160" t="s">
        <v>1552</v>
      </c>
      <c r="BF146" s="160" t="s">
        <v>1556</v>
      </c>
      <c r="BH146" s="161" t="s">
        <v>349</v>
      </c>
      <c r="BI146" s="160" t="s">
        <v>355</v>
      </c>
      <c r="BJ146" s="160" t="s">
        <v>356</v>
      </c>
      <c r="BK146" s="160" t="s">
        <v>358</v>
      </c>
      <c r="BL146" s="160" t="s">
        <v>1552</v>
      </c>
      <c r="BM146" s="160" t="s">
        <v>372</v>
      </c>
    </row>
    <row r="147" spans="1:65">
      <c r="I147" s="176"/>
      <c r="V147" s="172"/>
      <c r="AR147" s="172"/>
    </row>
    <row r="148" spans="1:65" ht="12" customHeight="1">
      <c r="A148" s="165" t="s">
        <v>1557</v>
      </c>
      <c r="B148" s="165"/>
      <c r="C148" s="166"/>
      <c r="D148" s="166"/>
      <c r="E148" s="166"/>
      <c r="F148" s="166"/>
      <c r="G148" s="166"/>
      <c r="H148" s="166"/>
      <c r="I148" s="167"/>
      <c r="J148" s="166"/>
      <c r="K148" s="166"/>
      <c r="L148" s="166"/>
      <c r="M148" s="166"/>
      <c r="N148" s="166"/>
      <c r="O148" s="166"/>
      <c r="P148" s="167"/>
      <c r="Q148" s="166"/>
      <c r="R148" s="166"/>
      <c r="S148" s="166"/>
      <c r="T148" s="166"/>
      <c r="U148" s="166"/>
      <c r="V148" s="168"/>
      <c r="W148" s="166"/>
      <c r="X148" s="167"/>
      <c r="Y148" s="166"/>
      <c r="Z148" s="166"/>
      <c r="AA148" s="166"/>
      <c r="AB148" s="166"/>
      <c r="AC148" s="166"/>
      <c r="AD148" s="166"/>
      <c r="AE148" s="167"/>
      <c r="AF148" s="166"/>
      <c r="AG148" s="166"/>
      <c r="AH148" s="166"/>
      <c r="AI148" s="166"/>
      <c r="AJ148" s="166"/>
      <c r="AK148" s="166"/>
      <c r="AL148" s="167"/>
      <c r="AM148" s="166"/>
      <c r="AN148" s="166"/>
      <c r="AO148" s="166"/>
      <c r="AP148" s="166"/>
      <c r="AQ148" s="166"/>
      <c r="AR148" s="168"/>
      <c r="AS148" s="166"/>
      <c r="AT148" s="167"/>
      <c r="AU148" s="166"/>
      <c r="AV148" s="166"/>
      <c r="AW148" s="166"/>
      <c r="AX148" s="166"/>
      <c r="AY148" s="166"/>
      <c r="AZ148" s="166"/>
      <c r="BA148" s="167"/>
      <c r="BB148" s="166"/>
      <c r="BC148" s="166"/>
      <c r="BD148" s="166"/>
      <c r="BE148" s="166"/>
      <c r="BF148" s="166"/>
      <c r="BG148" s="166"/>
      <c r="BH148" s="167"/>
      <c r="BI148" s="166"/>
      <c r="BJ148" s="166"/>
      <c r="BK148" s="166"/>
      <c r="BL148" s="166"/>
      <c r="BM148" s="166"/>
    </row>
    <row r="149" spans="1:65" s="170" customFormat="1">
      <c r="A149" s="169"/>
      <c r="B149" s="169" t="s">
        <v>1558</v>
      </c>
      <c r="E149" s="177"/>
      <c r="F149" s="177"/>
      <c r="G149" s="177"/>
      <c r="I149" s="169" t="s">
        <v>1559</v>
      </c>
      <c r="L149" s="178" t="s">
        <v>1560</v>
      </c>
      <c r="M149" s="170">
        <f>0.07+0.13+0.39+0.86</f>
        <v>1.4500000000000002</v>
      </c>
      <c r="N149" s="178" t="s">
        <v>1561</v>
      </c>
      <c r="P149" s="169" t="s">
        <v>1562</v>
      </c>
      <c r="S149" s="177"/>
      <c r="T149" s="177"/>
      <c r="U149" s="177"/>
      <c r="V149" s="171"/>
      <c r="X149" s="169" t="s">
        <v>1563</v>
      </c>
      <c r="AE149" s="169" t="s">
        <v>1564</v>
      </c>
      <c r="AL149" s="169" t="s">
        <v>1565</v>
      </c>
      <c r="AR149" s="171"/>
      <c r="AT149" s="169" t="s">
        <v>1566</v>
      </c>
      <c r="BA149" s="169" t="s">
        <v>1567</v>
      </c>
      <c r="BH149" s="169" t="s">
        <v>1568</v>
      </c>
    </row>
    <row r="150" spans="1:65">
      <c r="C150" s="160" t="s">
        <v>243</v>
      </c>
      <c r="D150" s="160" t="s">
        <v>23</v>
      </c>
      <c r="E150" s="179" t="s">
        <v>24</v>
      </c>
      <c r="F150" s="179" t="s">
        <v>244</v>
      </c>
      <c r="G150" s="179" t="s">
        <v>26</v>
      </c>
      <c r="J150" s="160" t="s">
        <v>243</v>
      </c>
      <c r="K150" s="160" t="s">
        <v>23</v>
      </c>
      <c r="L150" s="160" t="s">
        <v>24</v>
      </c>
      <c r="M150" s="160" t="s">
        <v>244</v>
      </c>
      <c r="N150" s="160" t="s">
        <v>26</v>
      </c>
      <c r="Q150" s="160" t="s">
        <v>243</v>
      </c>
      <c r="R150" s="160" t="s">
        <v>23</v>
      </c>
      <c r="S150" s="179" t="s">
        <v>24</v>
      </c>
      <c r="T150" s="179" t="s">
        <v>244</v>
      </c>
      <c r="U150" s="179" t="s">
        <v>26</v>
      </c>
      <c r="V150" s="172"/>
      <c r="Y150" s="160" t="s">
        <v>243</v>
      </c>
      <c r="Z150" s="160" t="s">
        <v>23</v>
      </c>
      <c r="AA150" s="160" t="s">
        <v>24</v>
      </c>
      <c r="AB150" s="160" t="s">
        <v>244</v>
      </c>
      <c r="AC150" s="160" t="s">
        <v>26</v>
      </c>
      <c r="AF150" s="160" t="s">
        <v>243</v>
      </c>
      <c r="AG150" s="160" t="s">
        <v>23</v>
      </c>
      <c r="AH150" s="160" t="s">
        <v>24</v>
      </c>
      <c r="AI150" s="160" t="s">
        <v>244</v>
      </c>
      <c r="AJ150" s="160" t="s">
        <v>26</v>
      </c>
      <c r="AM150" s="160" t="s">
        <v>243</v>
      </c>
      <c r="AN150" s="160" t="s">
        <v>23</v>
      </c>
      <c r="AO150" s="160" t="s">
        <v>24</v>
      </c>
      <c r="AP150" s="160" t="s">
        <v>244</v>
      </c>
      <c r="AQ150" s="160" t="s">
        <v>26</v>
      </c>
      <c r="AR150" s="172"/>
      <c r="AU150" s="160" t="s">
        <v>243</v>
      </c>
      <c r="AV150" s="160" t="s">
        <v>23</v>
      </c>
      <c r="AW150" s="160" t="s">
        <v>24</v>
      </c>
      <c r="AX150" s="160" t="s">
        <v>244</v>
      </c>
      <c r="AY150" s="160" t="s">
        <v>26</v>
      </c>
      <c r="BB150" s="160" t="s">
        <v>243</v>
      </c>
      <c r="BC150" s="160" t="s">
        <v>23</v>
      </c>
      <c r="BD150" s="160" t="s">
        <v>24</v>
      </c>
      <c r="BE150" s="160" t="s">
        <v>244</v>
      </c>
      <c r="BF150" s="160" t="s">
        <v>26</v>
      </c>
      <c r="BI150" s="160" t="s">
        <v>243</v>
      </c>
      <c r="BJ150" s="160" t="s">
        <v>23</v>
      </c>
      <c r="BK150" s="160" t="s">
        <v>24</v>
      </c>
      <c r="BL150" s="160" t="s">
        <v>244</v>
      </c>
      <c r="BM150" s="160" t="s">
        <v>26</v>
      </c>
    </row>
    <row r="151" spans="1:65">
      <c r="B151" s="161" t="s">
        <v>26</v>
      </c>
      <c r="C151" s="160" t="s">
        <v>1569</v>
      </c>
      <c r="D151" s="160" t="s">
        <v>1570</v>
      </c>
      <c r="E151" s="179" t="s">
        <v>1571</v>
      </c>
      <c r="F151" s="179" t="s">
        <v>1478</v>
      </c>
      <c r="G151" s="179" t="s">
        <v>1572</v>
      </c>
      <c r="I151" s="161" t="s">
        <v>26</v>
      </c>
      <c r="J151" s="160" t="s">
        <v>1573</v>
      </c>
      <c r="K151" s="160" t="s">
        <v>1574</v>
      </c>
      <c r="L151" s="180" t="s">
        <v>1575</v>
      </c>
      <c r="M151" s="160" t="s">
        <v>1483</v>
      </c>
      <c r="N151" s="180" t="s">
        <v>1576</v>
      </c>
      <c r="P151" s="161" t="s">
        <v>26</v>
      </c>
      <c r="Q151" s="160" t="s">
        <v>1573</v>
      </c>
      <c r="R151" s="160" t="s">
        <v>1574</v>
      </c>
      <c r="S151" s="179" t="s">
        <v>1575</v>
      </c>
      <c r="T151" s="179" t="s">
        <v>1483</v>
      </c>
      <c r="U151" s="179" t="s">
        <v>1576</v>
      </c>
      <c r="V151" s="172"/>
      <c r="X151" s="161" t="s">
        <v>26</v>
      </c>
      <c r="Y151" s="160" t="s">
        <v>1577</v>
      </c>
      <c r="Z151" s="160" t="s">
        <v>1578</v>
      </c>
      <c r="AA151" s="160" t="s">
        <v>1579</v>
      </c>
      <c r="AB151" s="160" t="s">
        <v>1488</v>
      </c>
      <c r="AC151" s="160" t="s">
        <v>1580</v>
      </c>
      <c r="AE151" s="161" t="s">
        <v>26</v>
      </c>
      <c r="AF151" s="160" t="s">
        <v>1581</v>
      </c>
      <c r="AG151" s="160" t="s">
        <v>1582</v>
      </c>
      <c r="AH151" s="160" t="s">
        <v>1583</v>
      </c>
      <c r="AI151" s="160" t="s">
        <v>1493</v>
      </c>
      <c r="AJ151" s="160" t="s">
        <v>1584</v>
      </c>
      <c r="AL151" s="161" t="s">
        <v>26</v>
      </c>
      <c r="AM151" s="160" t="s">
        <v>1581</v>
      </c>
      <c r="AN151" s="160" t="s">
        <v>1582</v>
      </c>
      <c r="AO151" s="160" t="s">
        <v>1583</v>
      </c>
      <c r="AP151" s="160" t="s">
        <v>1493</v>
      </c>
      <c r="AQ151" s="160" t="s">
        <v>1584</v>
      </c>
      <c r="AR151" s="172"/>
      <c r="AT151" s="161" t="s">
        <v>26</v>
      </c>
      <c r="AU151" s="160" t="s">
        <v>1585</v>
      </c>
      <c r="AV151" s="160" t="s">
        <v>1586</v>
      </c>
      <c r="AW151" s="160" t="s">
        <v>1587</v>
      </c>
      <c r="AX151" s="160" t="s">
        <v>1488</v>
      </c>
      <c r="AY151" s="160" t="s">
        <v>1588</v>
      </c>
      <c r="BA151" s="161" t="s">
        <v>26</v>
      </c>
      <c r="BB151" s="160" t="s">
        <v>1589</v>
      </c>
      <c r="BC151" s="160" t="s">
        <v>1590</v>
      </c>
      <c r="BD151" s="160" t="s">
        <v>1591</v>
      </c>
      <c r="BE151" s="160" t="s">
        <v>1493</v>
      </c>
      <c r="BF151" s="160" t="s">
        <v>1592</v>
      </c>
      <c r="BH151" s="161" t="s">
        <v>26</v>
      </c>
      <c r="BI151" s="160" t="s">
        <v>1589</v>
      </c>
      <c r="BJ151" s="160" t="s">
        <v>1590</v>
      </c>
      <c r="BK151" s="160" t="s">
        <v>1591</v>
      </c>
      <c r="BL151" s="160" t="s">
        <v>1493</v>
      </c>
      <c r="BM151" s="160" t="s">
        <v>1592</v>
      </c>
    </row>
    <row r="152" spans="1:65">
      <c r="B152" s="161" t="s">
        <v>281</v>
      </c>
      <c r="C152" s="160" t="s">
        <v>1593</v>
      </c>
      <c r="D152" s="160" t="s">
        <v>1594</v>
      </c>
      <c r="E152" s="179" t="s">
        <v>1595</v>
      </c>
      <c r="F152" s="179" t="s">
        <v>1510</v>
      </c>
      <c r="G152" s="179" t="s">
        <v>1596</v>
      </c>
      <c r="I152" s="161" t="s">
        <v>281</v>
      </c>
      <c r="J152" s="160" t="s">
        <v>1597</v>
      </c>
      <c r="K152" s="160" t="s">
        <v>1598</v>
      </c>
      <c r="L152" s="160" t="s">
        <v>1599</v>
      </c>
      <c r="M152" s="160" t="s">
        <v>1515</v>
      </c>
      <c r="N152" s="160" t="s">
        <v>1600</v>
      </c>
      <c r="P152" s="161" t="s">
        <v>281</v>
      </c>
      <c r="Q152" s="160" t="s">
        <v>1597</v>
      </c>
      <c r="R152" s="160" t="s">
        <v>1598</v>
      </c>
      <c r="S152" s="179" t="s">
        <v>1599</v>
      </c>
      <c r="T152" s="179" t="s">
        <v>1515</v>
      </c>
      <c r="U152" s="179" t="s">
        <v>1600</v>
      </c>
      <c r="V152" s="172"/>
      <c r="X152" s="161" t="s">
        <v>281</v>
      </c>
      <c r="Y152" s="160" t="s">
        <v>1601</v>
      </c>
      <c r="Z152" s="160" t="s">
        <v>1602</v>
      </c>
      <c r="AA152" s="160" t="s">
        <v>1603</v>
      </c>
      <c r="AB152" s="160" t="s">
        <v>1519</v>
      </c>
      <c r="AC152" s="160" t="s">
        <v>1604</v>
      </c>
      <c r="AE152" s="161" t="s">
        <v>281</v>
      </c>
      <c r="AF152" s="160" t="s">
        <v>1605</v>
      </c>
      <c r="AG152" s="160" t="s">
        <v>1606</v>
      </c>
      <c r="AH152" s="160" t="s">
        <v>1607</v>
      </c>
      <c r="AI152" s="160" t="s">
        <v>1522</v>
      </c>
      <c r="AJ152" s="160" t="s">
        <v>1608</v>
      </c>
      <c r="AL152" s="161" t="s">
        <v>281</v>
      </c>
      <c r="AM152" s="160" t="s">
        <v>1605</v>
      </c>
      <c r="AN152" s="160" t="s">
        <v>1606</v>
      </c>
      <c r="AO152" s="160" t="s">
        <v>1607</v>
      </c>
      <c r="AP152" s="160" t="s">
        <v>1522</v>
      </c>
      <c r="AQ152" s="160" t="s">
        <v>1608</v>
      </c>
      <c r="AR152" s="172"/>
      <c r="AT152" s="161" t="s">
        <v>281</v>
      </c>
      <c r="AU152" s="160" t="s">
        <v>1609</v>
      </c>
      <c r="AV152" s="160" t="s">
        <v>1610</v>
      </c>
      <c r="AW152" s="160" t="s">
        <v>1611</v>
      </c>
      <c r="AX152" s="160" t="s">
        <v>1519</v>
      </c>
      <c r="AY152" s="160" t="s">
        <v>1612</v>
      </c>
      <c r="BA152" s="161" t="s">
        <v>281</v>
      </c>
      <c r="BB152" s="160" t="s">
        <v>1613</v>
      </c>
      <c r="BC152" s="160" t="s">
        <v>1614</v>
      </c>
      <c r="BD152" s="160" t="s">
        <v>1615</v>
      </c>
      <c r="BE152" s="160" t="s">
        <v>1522</v>
      </c>
      <c r="BF152" s="160" t="s">
        <v>1616</v>
      </c>
      <c r="BH152" s="161" t="s">
        <v>281</v>
      </c>
      <c r="BI152" s="160" t="s">
        <v>1613</v>
      </c>
      <c r="BJ152" s="160" t="s">
        <v>1614</v>
      </c>
      <c r="BK152" s="160" t="s">
        <v>1615</v>
      </c>
      <c r="BL152" s="160" t="s">
        <v>1522</v>
      </c>
      <c r="BM152" s="160" t="s">
        <v>1616</v>
      </c>
    </row>
    <row r="153" spans="1:65">
      <c r="B153" s="161" t="s">
        <v>317</v>
      </c>
      <c r="C153" s="160" t="s">
        <v>1274</v>
      </c>
      <c r="D153" s="160" t="s">
        <v>1617</v>
      </c>
      <c r="E153" s="179" t="s">
        <v>1618</v>
      </c>
      <c r="F153" s="179" t="s">
        <v>1535</v>
      </c>
      <c r="G153" s="179" t="s">
        <v>1619</v>
      </c>
      <c r="I153" s="161" t="s">
        <v>317</v>
      </c>
      <c r="J153" s="160" t="s">
        <v>1274</v>
      </c>
      <c r="K153" s="160" t="s">
        <v>1620</v>
      </c>
      <c r="L153" s="160" t="s">
        <v>1621</v>
      </c>
      <c r="M153" s="160" t="s">
        <v>1537</v>
      </c>
      <c r="N153" s="160" t="s">
        <v>1622</v>
      </c>
      <c r="P153" s="161" t="s">
        <v>317</v>
      </c>
      <c r="Q153" s="160" t="s">
        <v>1274</v>
      </c>
      <c r="R153" s="160" t="s">
        <v>1620</v>
      </c>
      <c r="S153" s="179" t="s">
        <v>1621</v>
      </c>
      <c r="T153" s="179" t="s">
        <v>1537</v>
      </c>
      <c r="U153" s="179" t="s">
        <v>1622</v>
      </c>
      <c r="V153" s="172"/>
      <c r="X153" s="161" t="s">
        <v>317</v>
      </c>
      <c r="Y153" s="160" t="s">
        <v>338</v>
      </c>
      <c r="Z153" s="160" t="s">
        <v>1623</v>
      </c>
      <c r="AA153" s="160" t="s">
        <v>1624</v>
      </c>
      <c r="AB153" s="160" t="s">
        <v>1539</v>
      </c>
      <c r="AC153" s="160" t="s">
        <v>1625</v>
      </c>
      <c r="AE153" s="161" t="s">
        <v>317</v>
      </c>
      <c r="AF153" s="160" t="s">
        <v>326</v>
      </c>
      <c r="AG153" s="160" t="s">
        <v>1626</v>
      </c>
      <c r="AH153" s="160" t="s">
        <v>1627</v>
      </c>
      <c r="AI153" s="160" t="s">
        <v>1542</v>
      </c>
      <c r="AJ153" s="160" t="s">
        <v>1628</v>
      </c>
      <c r="AL153" s="161" t="s">
        <v>317</v>
      </c>
      <c r="AM153" s="160" t="s">
        <v>326</v>
      </c>
      <c r="AN153" s="160" t="s">
        <v>1626</v>
      </c>
      <c r="AO153" s="160" t="s">
        <v>1627</v>
      </c>
      <c r="AP153" s="160" t="s">
        <v>1542</v>
      </c>
      <c r="AQ153" s="160" t="s">
        <v>1628</v>
      </c>
      <c r="AR153" s="172"/>
      <c r="AT153" s="161" t="s">
        <v>317</v>
      </c>
      <c r="AU153" s="160" t="s">
        <v>1629</v>
      </c>
      <c r="AV153" s="160" t="s">
        <v>1630</v>
      </c>
      <c r="AW153" s="160" t="s">
        <v>1631</v>
      </c>
      <c r="AX153" s="160" t="s">
        <v>1539</v>
      </c>
      <c r="AY153" s="160" t="s">
        <v>1632</v>
      </c>
      <c r="BA153" s="161" t="s">
        <v>317</v>
      </c>
      <c r="BB153" s="160" t="s">
        <v>318</v>
      </c>
      <c r="BC153" s="160" t="s">
        <v>1009</v>
      </c>
      <c r="BD153" s="160" t="s">
        <v>1633</v>
      </c>
      <c r="BE153" s="160" t="s">
        <v>1542</v>
      </c>
      <c r="BF153" s="160" t="s">
        <v>1634</v>
      </c>
      <c r="BH153" s="161" t="s">
        <v>317</v>
      </c>
      <c r="BI153" s="160" t="s">
        <v>318</v>
      </c>
      <c r="BJ153" s="160" t="s">
        <v>1009</v>
      </c>
      <c r="BK153" s="160" t="s">
        <v>1633</v>
      </c>
      <c r="BL153" s="160" t="s">
        <v>1542</v>
      </c>
      <c r="BM153" s="160" t="s">
        <v>1634</v>
      </c>
    </row>
    <row r="154" spans="1:65">
      <c r="B154" s="161" t="s">
        <v>349</v>
      </c>
      <c r="C154" s="160" t="s">
        <v>1635</v>
      </c>
      <c r="D154" s="160" t="s">
        <v>356</v>
      </c>
      <c r="E154" s="179" t="s">
        <v>1636</v>
      </c>
      <c r="F154" s="179" t="s">
        <v>1548</v>
      </c>
      <c r="G154" s="179" t="s">
        <v>661</v>
      </c>
      <c r="I154" s="161" t="s">
        <v>349</v>
      </c>
      <c r="J154" s="160" t="s">
        <v>1637</v>
      </c>
      <c r="K154" s="160" t="s">
        <v>352</v>
      </c>
      <c r="L154" s="160" t="s">
        <v>460</v>
      </c>
      <c r="M154" s="160" t="s">
        <v>1548</v>
      </c>
      <c r="N154" s="160" t="s">
        <v>1638</v>
      </c>
      <c r="P154" s="161" t="s">
        <v>349</v>
      </c>
      <c r="Q154" s="160" t="s">
        <v>1637</v>
      </c>
      <c r="R154" s="160" t="s">
        <v>352</v>
      </c>
      <c r="S154" s="179" t="s">
        <v>460</v>
      </c>
      <c r="T154" s="179" t="s">
        <v>1548</v>
      </c>
      <c r="U154" s="179" t="s">
        <v>1638</v>
      </c>
      <c r="V154" s="172"/>
      <c r="X154" s="161" t="s">
        <v>349</v>
      </c>
      <c r="Y154" s="160" t="s">
        <v>350</v>
      </c>
      <c r="Z154" s="160" t="s">
        <v>351</v>
      </c>
      <c r="AA154" s="160" t="s">
        <v>782</v>
      </c>
      <c r="AB154" s="160" t="s">
        <v>1552</v>
      </c>
      <c r="AC154" s="160" t="s">
        <v>1639</v>
      </c>
      <c r="AE154" s="161" t="s">
        <v>349</v>
      </c>
      <c r="AF154" s="160" t="s">
        <v>355</v>
      </c>
      <c r="AG154" s="160" t="s">
        <v>356</v>
      </c>
      <c r="AH154" s="160" t="s">
        <v>1636</v>
      </c>
      <c r="AI154" s="160" t="s">
        <v>1552</v>
      </c>
      <c r="AJ154" s="160" t="s">
        <v>1556</v>
      </c>
      <c r="AL154" s="161" t="s">
        <v>349</v>
      </c>
      <c r="AM154" s="160" t="s">
        <v>355</v>
      </c>
      <c r="AN154" s="160" t="s">
        <v>356</v>
      </c>
      <c r="AO154" s="160" t="s">
        <v>1636</v>
      </c>
      <c r="AP154" s="160" t="s">
        <v>1552</v>
      </c>
      <c r="AQ154" s="160" t="s">
        <v>1556</v>
      </c>
      <c r="AR154" s="172"/>
      <c r="AT154" s="161" t="s">
        <v>349</v>
      </c>
      <c r="AU154" s="160" t="s">
        <v>1640</v>
      </c>
      <c r="AV154" s="160" t="s">
        <v>351</v>
      </c>
      <c r="AW154" s="160" t="s">
        <v>782</v>
      </c>
      <c r="AX154" s="160" t="s">
        <v>1552</v>
      </c>
      <c r="AY154" s="160" t="s">
        <v>1641</v>
      </c>
      <c r="BA154" s="161" t="s">
        <v>349</v>
      </c>
      <c r="BB154" s="160" t="s">
        <v>355</v>
      </c>
      <c r="BC154" s="160" t="s">
        <v>356</v>
      </c>
      <c r="BD154" s="160" t="s">
        <v>1636</v>
      </c>
      <c r="BE154" s="160" t="s">
        <v>1552</v>
      </c>
      <c r="BF154" s="160" t="s">
        <v>1556</v>
      </c>
      <c r="BH154" s="161" t="s">
        <v>349</v>
      </c>
      <c r="BI154" s="160" t="s">
        <v>355</v>
      </c>
      <c r="BJ154" s="160" t="s">
        <v>356</v>
      </c>
      <c r="BK154" s="160" t="s">
        <v>1636</v>
      </c>
      <c r="BL154" s="160" t="s">
        <v>1552</v>
      </c>
      <c r="BM154" s="160" t="s">
        <v>1556</v>
      </c>
    </row>
    <row r="155" spans="1:65">
      <c r="E155" s="179"/>
      <c r="F155" s="179"/>
      <c r="G155" s="179"/>
      <c r="S155" s="179"/>
      <c r="T155" s="179"/>
      <c r="U155" s="179"/>
      <c r="V155" s="172"/>
      <c r="AR155" s="172"/>
    </row>
    <row r="156" spans="1:65" ht="12" customHeight="1">
      <c r="A156" s="165" t="s">
        <v>1642</v>
      </c>
      <c r="B156" s="165"/>
      <c r="C156" s="166"/>
      <c r="D156" s="166"/>
      <c r="E156" s="181"/>
      <c r="F156" s="181"/>
      <c r="G156" s="181"/>
      <c r="H156" s="166"/>
      <c r="I156" s="167"/>
      <c r="J156" s="166"/>
      <c r="K156" s="166"/>
      <c r="L156" s="166"/>
      <c r="M156" s="166"/>
      <c r="N156" s="166"/>
      <c r="O156" s="166"/>
      <c r="P156" s="167"/>
      <c r="Q156" s="166"/>
      <c r="R156" s="166"/>
      <c r="S156" s="181"/>
      <c r="T156" s="181"/>
      <c r="U156" s="181"/>
      <c r="V156" s="168"/>
      <c r="W156" s="166"/>
      <c r="X156" s="167"/>
      <c r="Y156" s="166"/>
      <c r="Z156" s="166"/>
      <c r="AA156" s="166"/>
      <c r="AB156" s="166"/>
      <c r="AC156" s="166"/>
      <c r="AD156" s="166"/>
      <c r="AE156" s="167"/>
      <c r="AF156" s="166"/>
      <c r="AG156" s="166"/>
      <c r="AH156" s="166"/>
      <c r="AI156" s="166"/>
      <c r="AJ156" s="166"/>
      <c r="AK156" s="166"/>
      <c r="AL156" s="167"/>
      <c r="AM156" s="166"/>
      <c r="AN156" s="166"/>
      <c r="AO156" s="166"/>
      <c r="AP156" s="166"/>
      <c r="AQ156" s="166"/>
      <c r="AR156" s="168"/>
      <c r="AS156" s="166"/>
      <c r="AT156" s="167"/>
      <c r="AU156" s="166"/>
      <c r="AV156" s="166"/>
      <c r="AW156" s="166"/>
      <c r="AX156" s="166"/>
      <c r="AY156" s="166"/>
      <c r="AZ156" s="166"/>
      <c r="BA156" s="167"/>
      <c r="BB156" s="166"/>
      <c r="BC156" s="166"/>
      <c r="BD156" s="166"/>
      <c r="BE156" s="166"/>
      <c r="BF156" s="166"/>
      <c r="BG156" s="166"/>
      <c r="BH156" s="167"/>
      <c r="BI156" s="166"/>
      <c r="BJ156" s="166"/>
      <c r="BK156" s="166"/>
      <c r="BL156" s="166"/>
      <c r="BM156" s="166"/>
    </row>
    <row r="157" spans="1:65" s="170" customFormat="1">
      <c r="A157" s="169"/>
      <c r="B157" s="169" t="s">
        <v>1643</v>
      </c>
      <c r="E157" s="177"/>
      <c r="F157" s="177"/>
      <c r="G157" s="177"/>
      <c r="I157" s="169" t="s">
        <v>1644</v>
      </c>
      <c r="L157" s="178" t="s">
        <v>1645</v>
      </c>
      <c r="M157" s="170">
        <f>0.02+0.24+0.86+0.31</f>
        <v>1.4300000000000002</v>
      </c>
      <c r="N157" s="178" t="s">
        <v>1646</v>
      </c>
      <c r="P157" s="169" t="s">
        <v>1647</v>
      </c>
      <c r="S157" s="177"/>
      <c r="T157" s="177"/>
      <c r="U157" s="177"/>
      <c r="V157" s="171"/>
      <c r="X157" s="169" t="s">
        <v>1648</v>
      </c>
      <c r="AE157" s="169" t="s">
        <v>1649</v>
      </c>
      <c r="AL157" s="169" t="s">
        <v>1650</v>
      </c>
      <c r="AR157" s="171"/>
      <c r="AT157" s="169" t="s">
        <v>1651</v>
      </c>
      <c r="BA157" s="169" t="s">
        <v>1652</v>
      </c>
      <c r="BH157" s="169" t="s">
        <v>1653</v>
      </c>
    </row>
    <row r="158" spans="1:65">
      <c r="C158" s="160" t="s">
        <v>243</v>
      </c>
      <c r="D158" s="160" t="s">
        <v>23</v>
      </c>
      <c r="E158" s="179" t="s">
        <v>24</v>
      </c>
      <c r="F158" s="179" t="s">
        <v>244</v>
      </c>
      <c r="G158" s="179" t="s">
        <v>26</v>
      </c>
      <c r="J158" s="160" t="s">
        <v>243</v>
      </c>
      <c r="K158" s="160" t="s">
        <v>23</v>
      </c>
      <c r="L158" s="160" t="s">
        <v>24</v>
      </c>
      <c r="M158" s="160" t="s">
        <v>244</v>
      </c>
      <c r="N158" s="160" t="s">
        <v>26</v>
      </c>
      <c r="Q158" s="160" t="s">
        <v>243</v>
      </c>
      <c r="R158" s="160" t="s">
        <v>23</v>
      </c>
      <c r="S158" s="179" t="s">
        <v>24</v>
      </c>
      <c r="T158" s="179" t="s">
        <v>244</v>
      </c>
      <c r="U158" s="179" t="s">
        <v>26</v>
      </c>
      <c r="V158" s="172"/>
      <c r="Y158" s="160" t="s">
        <v>243</v>
      </c>
      <c r="Z158" s="160" t="s">
        <v>23</v>
      </c>
      <c r="AA158" s="160" t="s">
        <v>24</v>
      </c>
      <c r="AB158" s="160" t="s">
        <v>244</v>
      </c>
      <c r="AC158" s="160" t="s">
        <v>26</v>
      </c>
      <c r="AF158" s="160" t="s">
        <v>243</v>
      </c>
      <c r="AG158" s="160" t="s">
        <v>23</v>
      </c>
      <c r="AH158" s="160" t="s">
        <v>24</v>
      </c>
      <c r="AI158" s="160" t="s">
        <v>244</v>
      </c>
      <c r="AJ158" s="160" t="s">
        <v>26</v>
      </c>
      <c r="AM158" s="160" t="s">
        <v>243</v>
      </c>
      <c r="AN158" s="160" t="s">
        <v>23</v>
      </c>
      <c r="AO158" s="160" t="s">
        <v>24</v>
      </c>
      <c r="AP158" s="160" t="s">
        <v>244</v>
      </c>
      <c r="AQ158" s="160" t="s">
        <v>26</v>
      </c>
      <c r="AR158" s="172"/>
      <c r="AU158" s="160" t="s">
        <v>243</v>
      </c>
      <c r="AV158" s="160" t="s">
        <v>23</v>
      </c>
      <c r="AW158" s="160" t="s">
        <v>24</v>
      </c>
      <c r="AX158" s="160" t="s">
        <v>244</v>
      </c>
      <c r="AY158" s="160" t="s">
        <v>26</v>
      </c>
      <c r="BB158" s="160" t="s">
        <v>243</v>
      </c>
      <c r="BC158" s="160" t="s">
        <v>23</v>
      </c>
      <c r="BD158" s="160" t="s">
        <v>24</v>
      </c>
      <c r="BE158" s="160" t="s">
        <v>244</v>
      </c>
      <c r="BF158" s="160" t="s">
        <v>26</v>
      </c>
      <c r="BI158" s="160" t="s">
        <v>243</v>
      </c>
      <c r="BJ158" s="160" t="s">
        <v>23</v>
      </c>
      <c r="BK158" s="160" t="s">
        <v>24</v>
      </c>
      <c r="BL158" s="160" t="s">
        <v>244</v>
      </c>
      <c r="BM158" s="160" t="s">
        <v>26</v>
      </c>
    </row>
    <row r="159" spans="1:65">
      <c r="B159" s="161" t="s">
        <v>26</v>
      </c>
      <c r="C159" s="160" t="s">
        <v>1654</v>
      </c>
      <c r="D159" s="160" t="s">
        <v>1655</v>
      </c>
      <c r="E159" s="179" t="s">
        <v>1656</v>
      </c>
      <c r="F159" s="179" t="s">
        <v>1478</v>
      </c>
      <c r="G159" s="179" t="s">
        <v>1657</v>
      </c>
      <c r="I159" s="161" t="s">
        <v>26</v>
      </c>
      <c r="J159" s="160" t="s">
        <v>1658</v>
      </c>
      <c r="K159" s="160" t="s">
        <v>1659</v>
      </c>
      <c r="L159" s="180" t="s">
        <v>1660</v>
      </c>
      <c r="M159" s="160" t="s">
        <v>1483</v>
      </c>
      <c r="N159" s="180" t="s">
        <v>1661</v>
      </c>
      <c r="P159" s="161" t="s">
        <v>26</v>
      </c>
      <c r="Q159" s="160" t="s">
        <v>1658</v>
      </c>
      <c r="R159" s="160" t="s">
        <v>1659</v>
      </c>
      <c r="S159" s="179" t="s">
        <v>1660</v>
      </c>
      <c r="T159" s="179" t="s">
        <v>1483</v>
      </c>
      <c r="U159" s="179" t="s">
        <v>1661</v>
      </c>
      <c r="V159" s="172"/>
      <c r="X159" s="161" t="s">
        <v>26</v>
      </c>
      <c r="Y159" s="160" t="s">
        <v>1654</v>
      </c>
      <c r="Z159" s="160" t="s">
        <v>1662</v>
      </c>
      <c r="AA159" s="160" t="s">
        <v>1663</v>
      </c>
      <c r="AB159" s="160" t="s">
        <v>1488</v>
      </c>
      <c r="AC159" s="160" t="s">
        <v>1664</v>
      </c>
      <c r="AE159" s="161" t="s">
        <v>26</v>
      </c>
      <c r="AF159" s="160" t="s">
        <v>1658</v>
      </c>
      <c r="AG159" s="160" t="s">
        <v>1665</v>
      </c>
      <c r="AH159" s="160" t="s">
        <v>1666</v>
      </c>
      <c r="AI159" s="160" t="s">
        <v>1493</v>
      </c>
      <c r="AJ159" s="160" t="s">
        <v>1667</v>
      </c>
      <c r="AL159" s="161" t="s">
        <v>26</v>
      </c>
      <c r="AM159" s="160" t="s">
        <v>1658</v>
      </c>
      <c r="AN159" s="160" t="s">
        <v>1665</v>
      </c>
      <c r="AO159" s="160" t="s">
        <v>1666</v>
      </c>
      <c r="AP159" s="160" t="s">
        <v>1493</v>
      </c>
      <c r="AQ159" s="160" t="s">
        <v>1667</v>
      </c>
      <c r="AR159" s="172"/>
      <c r="AT159" s="161" t="s">
        <v>26</v>
      </c>
      <c r="AU159" s="160" t="s">
        <v>1654</v>
      </c>
      <c r="AV159" s="160" t="s">
        <v>1668</v>
      </c>
      <c r="AW159" s="160" t="s">
        <v>1669</v>
      </c>
      <c r="AX159" s="160" t="s">
        <v>1488</v>
      </c>
      <c r="AY159" s="160" t="s">
        <v>1670</v>
      </c>
      <c r="BA159" s="161" t="s">
        <v>26</v>
      </c>
      <c r="BB159" s="160" t="s">
        <v>1658</v>
      </c>
      <c r="BC159" s="160" t="s">
        <v>1671</v>
      </c>
      <c r="BD159" s="160" t="s">
        <v>1672</v>
      </c>
      <c r="BE159" s="160" t="s">
        <v>1493</v>
      </c>
      <c r="BF159" s="160" t="s">
        <v>1673</v>
      </c>
      <c r="BH159" s="161" t="s">
        <v>26</v>
      </c>
      <c r="BI159" s="160" t="s">
        <v>1658</v>
      </c>
      <c r="BJ159" s="160" t="s">
        <v>1671</v>
      </c>
      <c r="BK159" s="160" t="s">
        <v>1672</v>
      </c>
      <c r="BL159" s="160" t="s">
        <v>1493</v>
      </c>
      <c r="BM159" s="160" t="s">
        <v>1673</v>
      </c>
    </row>
    <row r="160" spans="1:65">
      <c r="B160" s="161" t="s">
        <v>281</v>
      </c>
      <c r="C160" s="160" t="s">
        <v>1674</v>
      </c>
      <c r="D160" s="160" t="s">
        <v>1675</v>
      </c>
      <c r="E160" s="179" t="s">
        <v>1676</v>
      </c>
      <c r="F160" s="179" t="s">
        <v>1510</v>
      </c>
      <c r="G160" s="179" t="s">
        <v>1677</v>
      </c>
      <c r="I160" s="161" t="s">
        <v>281</v>
      </c>
      <c r="J160" s="160" t="s">
        <v>1678</v>
      </c>
      <c r="K160" s="160" t="s">
        <v>1679</v>
      </c>
      <c r="L160" s="160" t="s">
        <v>1680</v>
      </c>
      <c r="M160" s="160" t="s">
        <v>1515</v>
      </c>
      <c r="N160" s="160" t="s">
        <v>1681</v>
      </c>
      <c r="P160" s="161" t="s">
        <v>281</v>
      </c>
      <c r="Q160" s="160" t="s">
        <v>1678</v>
      </c>
      <c r="R160" s="160" t="s">
        <v>1679</v>
      </c>
      <c r="S160" s="179" t="s">
        <v>1680</v>
      </c>
      <c r="T160" s="179" t="s">
        <v>1515</v>
      </c>
      <c r="U160" s="179" t="s">
        <v>1681</v>
      </c>
      <c r="V160" s="172"/>
      <c r="X160" s="161" t="s">
        <v>281</v>
      </c>
      <c r="Y160" s="160" t="s">
        <v>1674</v>
      </c>
      <c r="Z160" s="160" t="s">
        <v>1682</v>
      </c>
      <c r="AA160" s="160" t="s">
        <v>1683</v>
      </c>
      <c r="AB160" s="160" t="s">
        <v>1519</v>
      </c>
      <c r="AC160" s="160" t="s">
        <v>1684</v>
      </c>
      <c r="AE160" s="161" t="s">
        <v>281</v>
      </c>
      <c r="AF160" s="160" t="s">
        <v>1678</v>
      </c>
      <c r="AG160" s="160" t="s">
        <v>1685</v>
      </c>
      <c r="AH160" s="160" t="s">
        <v>1686</v>
      </c>
      <c r="AI160" s="160" t="s">
        <v>1522</v>
      </c>
      <c r="AJ160" s="160" t="s">
        <v>1687</v>
      </c>
      <c r="AL160" s="161" t="s">
        <v>281</v>
      </c>
      <c r="AM160" s="160" t="s">
        <v>1678</v>
      </c>
      <c r="AN160" s="160" t="s">
        <v>1685</v>
      </c>
      <c r="AO160" s="160" t="s">
        <v>1686</v>
      </c>
      <c r="AP160" s="160" t="s">
        <v>1522</v>
      </c>
      <c r="AQ160" s="160" t="s">
        <v>1687</v>
      </c>
      <c r="AR160" s="172"/>
      <c r="AT160" s="161" t="s">
        <v>281</v>
      </c>
      <c r="AU160" s="160" t="s">
        <v>1674</v>
      </c>
      <c r="AV160" s="160" t="s">
        <v>1688</v>
      </c>
      <c r="AW160" s="160" t="s">
        <v>1689</v>
      </c>
      <c r="AX160" s="160" t="s">
        <v>1519</v>
      </c>
      <c r="AY160" s="160" t="s">
        <v>1690</v>
      </c>
      <c r="BA160" s="161" t="s">
        <v>281</v>
      </c>
      <c r="BB160" s="160" t="s">
        <v>1678</v>
      </c>
      <c r="BC160" s="160" t="s">
        <v>1691</v>
      </c>
      <c r="BD160" s="160" t="s">
        <v>1692</v>
      </c>
      <c r="BE160" s="160" t="s">
        <v>1522</v>
      </c>
      <c r="BF160" s="160" t="s">
        <v>1693</v>
      </c>
      <c r="BH160" s="161" t="s">
        <v>281</v>
      </c>
      <c r="BI160" s="160" t="s">
        <v>1678</v>
      </c>
      <c r="BJ160" s="160" t="s">
        <v>1691</v>
      </c>
      <c r="BK160" s="160" t="s">
        <v>1692</v>
      </c>
      <c r="BL160" s="160" t="s">
        <v>1522</v>
      </c>
      <c r="BM160" s="160" t="s">
        <v>1693</v>
      </c>
    </row>
    <row r="161" spans="1:65">
      <c r="B161" s="161" t="s">
        <v>317</v>
      </c>
      <c r="C161" s="160" t="s">
        <v>355</v>
      </c>
      <c r="D161" s="160" t="s">
        <v>923</v>
      </c>
      <c r="E161" s="160" t="s">
        <v>1694</v>
      </c>
      <c r="F161" s="160" t="s">
        <v>1535</v>
      </c>
      <c r="G161" s="160" t="s">
        <v>1695</v>
      </c>
      <c r="I161" s="161" t="s">
        <v>317</v>
      </c>
      <c r="J161" s="160" t="s">
        <v>364</v>
      </c>
      <c r="K161" s="160" t="s">
        <v>1696</v>
      </c>
      <c r="L161" s="160" t="s">
        <v>1697</v>
      </c>
      <c r="M161" s="160" t="s">
        <v>1537</v>
      </c>
      <c r="N161" s="160" t="s">
        <v>1698</v>
      </c>
      <c r="P161" s="161" t="s">
        <v>317</v>
      </c>
      <c r="Q161" s="160" t="s">
        <v>364</v>
      </c>
      <c r="R161" s="160" t="s">
        <v>1696</v>
      </c>
      <c r="S161" s="179" t="s">
        <v>1697</v>
      </c>
      <c r="T161" s="179" t="s">
        <v>1537</v>
      </c>
      <c r="U161" s="179" t="s">
        <v>1698</v>
      </c>
      <c r="V161" s="172"/>
      <c r="X161" s="161" t="s">
        <v>317</v>
      </c>
      <c r="Y161" s="160" t="s">
        <v>355</v>
      </c>
      <c r="Z161" s="160" t="s">
        <v>1699</v>
      </c>
      <c r="AA161" s="160" t="s">
        <v>1700</v>
      </c>
      <c r="AB161" s="160" t="s">
        <v>1539</v>
      </c>
      <c r="AC161" s="160" t="s">
        <v>1701</v>
      </c>
      <c r="AE161" s="161" t="s">
        <v>317</v>
      </c>
      <c r="AF161" s="160" t="s">
        <v>364</v>
      </c>
      <c r="AG161" s="160" t="s">
        <v>1702</v>
      </c>
      <c r="AH161" s="160" t="s">
        <v>1703</v>
      </c>
      <c r="AI161" s="160" t="s">
        <v>1542</v>
      </c>
      <c r="AJ161" s="160" t="s">
        <v>1704</v>
      </c>
      <c r="AL161" s="161" t="s">
        <v>317</v>
      </c>
      <c r="AM161" s="160" t="s">
        <v>364</v>
      </c>
      <c r="AN161" s="160" t="s">
        <v>1702</v>
      </c>
      <c r="AO161" s="160" t="s">
        <v>1703</v>
      </c>
      <c r="AP161" s="160" t="s">
        <v>1542</v>
      </c>
      <c r="AQ161" s="160" t="s">
        <v>1704</v>
      </c>
      <c r="AR161" s="172"/>
      <c r="AT161" s="161" t="s">
        <v>317</v>
      </c>
      <c r="AU161" s="160" t="s">
        <v>355</v>
      </c>
      <c r="AV161" s="160" t="s">
        <v>1705</v>
      </c>
      <c r="AW161" s="160" t="s">
        <v>1706</v>
      </c>
      <c r="AX161" s="160" t="s">
        <v>1539</v>
      </c>
      <c r="AY161" s="160" t="s">
        <v>1707</v>
      </c>
      <c r="BA161" s="161" t="s">
        <v>317</v>
      </c>
      <c r="BB161" s="160" t="s">
        <v>364</v>
      </c>
      <c r="BC161" s="160" t="s">
        <v>1708</v>
      </c>
      <c r="BD161" s="160" t="s">
        <v>1709</v>
      </c>
      <c r="BE161" s="160" t="s">
        <v>1542</v>
      </c>
      <c r="BF161" s="160" t="s">
        <v>1710</v>
      </c>
      <c r="BH161" s="161" t="s">
        <v>317</v>
      </c>
      <c r="BI161" s="160" t="s">
        <v>364</v>
      </c>
      <c r="BJ161" s="160" t="s">
        <v>1708</v>
      </c>
      <c r="BK161" s="160" t="s">
        <v>1709</v>
      </c>
      <c r="BL161" s="160" t="s">
        <v>1542</v>
      </c>
      <c r="BM161" s="160" t="s">
        <v>1710</v>
      </c>
    </row>
    <row r="162" spans="1:65">
      <c r="B162" s="161" t="s">
        <v>349</v>
      </c>
      <c r="C162" s="160" t="s">
        <v>1711</v>
      </c>
      <c r="D162" s="160" t="s">
        <v>356</v>
      </c>
      <c r="E162" s="160" t="s">
        <v>1712</v>
      </c>
      <c r="F162" s="160" t="s">
        <v>1548</v>
      </c>
      <c r="G162" s="160" t="s">
        <v>366</v>
      </c>
      <c r="I162" s="161" t="s">
        <v>349</v>
      </c>
      <c r="J162" s="160" t="s">
        <v>1711</v>
      </c>
      <c r="K162" s="160" t="s">
        <v>356</v>
      </c>
      <c r="L162" s="160" t="s">
        <v>782</v>
      </c>
      <c r="M162" s="160" t="s">
        <v>1548</v>
      </c>
      <c r="N162" s="160" t="s">
        <v>661</v>
      </c>
      <c r="P162" s="161" t="s">
        <v>349</v>
      </c>
      <c r="Q162" s="160" t="s">
        <v>1711</v>
      </c>
      <c r="R162" s="160" t="s">
        <v>356</v>
      </c>
      <c r="S162" s="179" t="s">
        <v>782</v>
      </c>
      <c r="T162" s="179" t="s">
        <v>1548</v>
      </c>
      <c r="U162" s="179" t="s">
        <v>661</v>
      </c>
      <c r="V162" s="172"/>
      <c r="X162" s="161" t="s">
        <v>349</v>
      </c>
      <c r="Y162" s="160" t="s">
        <v>1711</v>
      </c>
      <c r="Z162" s="160" t="s">
        <v>351</v>
      </c>
      <c r="AA162" s="160" t="s">
        <v>1713</v>
      </c>
      <c r="AB162" s="160" t="s">
        <v>1552</v>
      </c>
      <c r="AC162" s="160" t="s">
        <v>1714</v>
      </c>
      <c r="AE162" s="161" t="s">
        <v>349</v>
      </c>
      <c r="AF162" s="160" t="s">
        <v>1711</v>
      </c>
      <c r="AG162" s="160" t="s">
        <v>356</v>
      </c>
      <c r="AH162" s="160" t="s">
        <v>782</v>
      </c>
      <c r="AI162" s="160" t="s">
        <v>1552</v>
      </c>
      <c r="AJ162" s="160" t="s">
        <v>1715</v>
      </c>
      <c r="AL162" s="161" t="s">
        <v>349</v>
      </c>
      <c r="AM162" s="160" t="s">
        <v>1711</v>
      </c>
      <c r="AN162" s="160" t="s">
        <v>356</v>
      </c>
      <c r="AO162" s="160" t="s">
        <v>782</v>
      </c>
      <c r="AP162" s="160" t="s">
        <v>1552</v>
      </c>
      <c r="AQ162" s="160" t="s">
        <v>1715</v>
      </c>
      <c r="AR162" s="172"/>
      <c r="AT162" s="161" t="s">
        <v>349</v>
      </c>
      <c r="AU162" s="160" t="s">
        <v>1711</v>
      </c>
      <c r="AV162" s="160" t="s">
        <v>351</v>
      </c>
      <c r="AW162" s="160" t="s">
        <v>1716</v>
      </c>
      <c r="AX162" s="160" t="s">
        <v>1552</v>
      </c>
      <c r="AY162" s="160" t="s">
        <v>1717</v>
      </c>
      <c r="BA162" s="161" t="s">
        <v>349</v>
      </c>
      <c r="BB162" s="160" t="s">
        <v>1711</v>
      </c>
      <c r="BC162" s="160" t="s">
        <v>356</v>
      </c>
      <c r="BD162" s="160" t="s">
        <v>328</v>
      </c>
      <c r="BE162" s="160" t="s">
        <v>1552</v>
      </c>
      <c r="BF162" s="160" t="s">
        <v>1718</v>
      </c>
      <c r="BH162" s="161" t="s">
        <v>349</v>
      </c>
      <c r="BI162" s="160" t="s">
        <v>1711</v>
      </c>
      <c r="BJ162" s="160" t="s">
        <v>356</v>
      </c>
      <c r="BK162" s="160" t="s">
        <v>328</v>
      </c>
      <c r="BL162" s="160" t="s">
        <v>1552</v>
      </c>
      <c r="BM162" s="160" t="s">
        <v>1718</v>
      </c>
    </row>
    <row r="163" spans="1:65">
      <c r="V163" s="172"/>
      <c r="AR163" s="172"/>
    </row>
    <row r="164" spans="1:65" ht="12" customHeight="1">
      <c r="A164" s="165" t="s">
        <v>1719</v>
      </c>
      <c r="B164" s="165"/>
      <c r="C164" s="166"/>
      <c r="D164" s="166"/>
      <c r="E164" s="166"/>
      <c r="F164" s="166"/>
      <c r="G164" s="166"/>
      <c r="H164" s="166"/>
      <c r="I164" s="167"/>
      <c r="J164" s="166"/>
      <c r="K164" s="166"/>
      <c r="L164" s="166"/>
      <c r="M164" s="166"/>
      <c r="N164" s="166"/>
      <c r="O164" s="166"/>
      <c r="P164" s="167"/>
      <c r="Q164" s="166"/>
      <c r="R164" s="166"/>
      <c r="S164" s="166"/>
      <c r="T164" s="166"/>
      <c r="U164" s="166"/>
      <c r="V164" s="168"/>
      <c r="W164" s="166"/>
      <c r="X164" s="167"/>
      <c r="Y164" s="166"/>
      <c r="Z164" s="166"/>
      <c r="AA164" s="166"/>
      <c r="AB164" s="166"/>
      <c r="AC164" s="166"/>
      <c r="AD164" s="166"/>
      <c r="AE164" s="167"/>
      <c r="AF164" s="166"/>
      <c r="AG164" s="166"/>
      <c r="AH164" s="166"/>
      <c r="AI164" s="166"/>
      <c r="AJ164" s="166"/>
      <c r="AK164" s="166"/>
      <c r="AL164" s="167"/>
      <c r="AM164" s="166"/>
      <c r="AN164" s="166"/>
      <c r="AO164" s="166"/>
      <c r="AP164" s="166"/>
      <c r="AQ164" s="166"/>
      <c r="AR164" s="168"/>
      <c r="AS164" s="166"/>
      <c r="AT164" s="167"/>
      <c r="AU164" s="166"/>
      <c r="AV164" s="166"/>
      <c r="AW164" s="166"/>
      <c r="AX164" s="166"/>
      <c r="AY164" s="166"/>
      <c r="AZ164" s="166"/>
      <c r="BA164" s="167"/>
      <c r="BB164" s="166"/>
      <c r="BC164" s="166"/>
      <c r="BD164" s="166"/>
      <c r="BE164" s="166"/>
      <c r="BF164" s="166"/>
      <c r="BG164" s="166"/>
      <c r="BH164" s="167"/>
      <c r="BI164" s="166"/>
      <c r="BJ164" s="166"/>
      <c r="BK164" s="166"/>
      <c r="BL164" s="166"/>
      <c r="BM164" s="166"/>
    </row>
    <row r="165" spans="1:65" s="170" customFormat="1">
      <c r="A165" s="169"/>
      <c r="B165" s="169" t="s">
        <v>1720</v>
      </c>
      <c r="I165" s="169" t="s">
        <v>1721</v>
      </c>
      <c r="P165" s="169" t="s">
        <v>1722</v>
      </c>
      <c r="V165" s="171"/>
      <c r="X165" s="169" t="s">
        <v>1723</v>
      </c>
      <c r="AE165" s="169" t="s">
        <v>1724</v>
      </c>
      <c r="AL165" s="169" t="s">
        <v>1725</v>
      </c>
      <c r="AR165" s="171"/>
      <c r="AT165" s="169" t="s">
        <v>1726</v>
      </c>
      <c r="BA165" s="169" t="s">
        <v>1727</v>
      </c>
      <c r="BH165" s="169" t="s">
        <v>1728</v>
      </c>
    </row>
    <row r="166" spans="1:65">
      <c r="C166" s="160" t="s">
        <v>243</v>
      </c>
      <c r="D166" s="160" t="s">
        <v>23</v>
      </c>
      <c r="E166" s="160" t="s">
        <v>24</v>
      </c>
      <c r="F166" s="160" t="s">
        <v>244</v>
      </c>
      <c r="G166" s="160" t="s">
        <v>26</v>
      </c>
      <c r="J166" s="160" t="s">
        <v>243</v>
      </c>
      <c r="K166" s="160" t="s">
        <v>23</v>
      </c>
      <c r="L166" s="160" t="s">
        <v>24</v>
      </c>
      <c r="M166" s="160" t="s">
        <v>244</v>
      </c>
      <c r="N166" s="160" t="s">
        <v>26</v>
      </c>
      <c r="Q166" s="160" t="s">
        <v>243</v>
      </c>
      <c r="R166" s="160" t="s">
        <v>23</v>
      </c>
      <c r="S166" s="160" t="s">
        <v>24</v>
      </c>
      <c r="T166" s="160" t="s">
        <v>244</v>
      </c>
      <c r="U166" s="160" t="s">
        <v>26</v>
      </c>
      <c r="V166" s="172"/>
      <c r="Y166" s="160" t="s">
        <v>243</v>
      </c>
      <c r="Z166" s="160" t="s">
        <v>23</v>
      </c>
      <c r="AA166" s="160" t="s">
        <v>24</v>
      </c>
      <c r="AB166" s="160" t="s">
        <v>244</v>
      </c>
      <c r="AC166" s="160" t="s">
        <v>26</v>
      </c>
      <c r="AF166" s="160" t="s">
        <v>243</v>
      </c>
      <c r="AG166" s="160" t="s">
        <v>23</v>
      </c>
      <c r="AH166" s="160" t="s">
        <v>24</v>
      </c>
      <c r="AI166" s="160" t="s">
        <v>244</v>
      </c>
      <c r="AJ166" s="160" t="s">
        <v>26</v>
      </c>
      <c r="AM166" s="160" t="s">
        <v>243</v>
      </c>
      <c r="AN166" s="160" t="s">
        <v>23</v>
      </c>
      <c r="AO166" s="160" t="s">
        <v>24</v>
      </c>
      <c r="AP166" s="160" t="s">
        <v>244</v>
      </c>
      <c r="AQ166" s="160" t="s">
        <v>26</v>
      </c>
      <c r="AR166" s="172"/>
      <c r="AU166" s="160" t="s">
        <v>243</v>
      </c>
      <c r="AV166" s="160" t="s">
        <v>23</v>
      </c>
      <c r="AW166" s="160" t="s">
        <v>24</v>
      </c>
      <c r="AX166" s="160" t="s">
        <v>244</v>
      </c>
      <c r="AY166" s="160" t="s">
        <v>26</v>
      </c>
      <c r="BB166" s="160" t="s">
        <v>243</v>
      </c>
      <c r="BC166" s="160" t="s">
        <v>23</v>
      </c>
      <c r="BD166" s="160" t="s">
        <v>24</v>
      </c>
      <c r="BE166" s="160" t="s">
        <v>244</v>
      </c>
      <c r="BF166" s="160" t="s">
        <v>26</v>
      </c>
      <c r="BI166" s="160" t="s">
        <v>243</v>
      </c>
      <c r="BJ166" s="160" t="s">
        <v>23</v>
      </c>
      <c r="BK166" s="160" t="s">
        <v>24</v>
      </c>
      <c r="BL166" s="160" t="s">
        <v>244</v>
      </c>
      <c r="BM166" s="160" t="s">
        <v>26</v>
      </c>
    </row>
    <row r="167" spans="1:65">
      <c r="B167" s="161" t="s">
        <v>26</v>
      </c>
      <c r="C167" s="160" t="s">
        <v>1577</v>
      </c>
      <c r="D167" s="160" t="s">
        <v>441</v>
      </c>
      <c r="E167" s="160" t="s">
        <v>1729</v>
      </c>
      <c r="F167" s="160" t="s">
        <v>248</v>
      </c>
      <c r="G167" s="160" t="s">
        <v>1730</v>
      </c>
      <c r="I167" s="161" t="s">
        <v>26</v>
      </c>
      <c r="J167" s="160" t="s">
        <v>1731</v>
      </c>
      <c r="K167" s="160" t="s">
        <v>1732</v>
      </c>
      <c r="L167" s="160" t="s">
        <v>1733</v>
      </c>
      <c r="M167" s="160" t="s">
        <v>253</v>
      </c>
      <c r="N167" s="160" t="s">
        <v>1734</v>
      </c>
      <c r="P167" s="161" t="s">
        <v>26</v>
      </c>
      <c r="Q167" s="160" t="s">
        <v>1735</v>
      </c>
      <c r="R167" s="160" t="s">
        <v>1339</v>
      </c>
      <c r="S167" s="160" t="s">
        <v>1736</v>
      </c>
      <c r="T167" s="160" t="s">
        <v>253</v>
      </c>
      <c r="U167" s="160" t="s">
        <v>1737</v>
      </c>
      <c r="V167" s="172"/>
      <c r="X167" s="161" t="s">
        <v>26</v>
      </c>
      <c r="Y167" s="160" t="s">
        <v>1738</v>
      </c>
      <c r="Z167" s="160" t="s">
        <v>715</v>
      </c>
      <c r="AA167" s="160" t="s">
        <v>1739</v>
      </c>
      <c r="AB167" s="160" t="s">
        <v>262</v>
      </c>
      <c r="AC167" s="160" t="s">
        <v>1740</v>
      </c>
      <c r="AE167" s="161" t="s">
        <v>26</v>
      </c>
      <c r="AF167" s="160" t="s">
        <v>1741</v>
      </c>
      <c r="AG167" s="160" t="s">
        <v>1742</v>
      </c>
      <c r="AH167" s="160" t="s">
        <v>1743</v>
      </c>
      <c r="AI167" s="160" t="s">
        <v>267</v>
      </c>
      <c r="AJ167" s="160" t="s">
        <v>1744</v>
      </c>
      <c r="AL167" s="161" t="s">
        <v>26</v>
      </c>
      <c r="AM167" s="160" t="s">
        <v>1745</v>
      </c>
      <c r="AN167" s="160" t="s">
        <v>1339</v>
      </c>
      <c r="AO167" s="160" t="s">
        <v>1736</v>
      </c>
      <c r="AP167" s="160" t="s">
        <v>267</v>
      </c>
      <c r="AQ167" s="160" t="s">
        <v>1746</v>
      </c>
      <c r="AR167" s="172"/>
      <c r="AT167" s="161" t="s">
        <v>26</v>
      </c>
      <c r="AU167" s="160" t="s">
        <v>1747</v>
      </c>
      <c r="AV167" s="160" t="s">
        <v>1748</v>
      </c>
      <c r="AW167" s="160" t="s">
        <v>1749</v>
      </c>
      <c r="AX167" s="160" t="s">
        <v>262</v>
      </c>
      <c r="AY167" s="160" t="s">
        <v>1750</v>
      </c>
      <c r="BA167" s="161" t="s">
        <v>26</v>
      </c>
      <c r="BB167" s="160" t="s">
        <v>1751</v>
      </c>
      <c r="BC167" s="160" t="s">
        <v>1752</v>
      </c>
      <c r="BD167" s="160" t="s">
        <v>1753</v>
      </c>
      <c r="BE167" s="160" t="s">
        <v>267</v>
      </c>
      <c r="BF167" s="160" t="s">
        <v>1754</v>
      </c>
      <c r="BH167" s="161" t="s">
        <v>26</v>
      </c>
      <c r="BI167" s="160" t="s">
        <v>1755</v>
      </c>
      <c r="BJ167" s="160" t="s">
        <v>1339</v>
      </c>
      <c r="BK167" s="160" t="s">
        <v>1736</v>
      </c>
      <c r="BL167" s="160" t="s">
        <v>267</v>
      </c>
      <c r="BM167" s="160" t="s">
        <v>1756</v>
      </c>
    </row>
    <row r="168" spans="1:65">
      <c r="B168" s="161" t="s">
        <v>281</v>
      </c>
      <c r="C168" s="160" t="s">
        <v>1757</v>
      </c>
      <c r="D168" s="160" t="s">
        <v>561</v>
      </c>
      <c r="E168" s="160" t="s">
        <v>1758</v>
      </c>
      <c r="F168" s="160" t="s">
        <v>285</v>
      </c>
      <c r="G168" s="160" t="s">
        <v>1759</v>
      </c>
      <c r="I168" s="161" t="s">
        <v>281</v>
      </c>
      <c r="J168" s="160" t="s">
        <v>1150</v>
      </c>
      <c r="K168" s="160" t="s">
        <v>1760</v>
      </c>
      <c r="L168" s="160" t="s">
        <v>1761</v>
      </c>
      <c r="M168" s="160" t="s">
        <v>289</v>
      </c>
      <c r="N168" s="160" t="s">
        <v>1762</v>
      </c>
      <c r="P168" s="161" t="s">
        <v>281</v>
      </c>
      <c r="Q168" s="160" t="s">
        <v>1763</v>
      </c>
      <c r="R168" s="160" t="s">
        <v>684</v>
      </c>
      <c r="S168" s="160" t="s">
        <v>1764</v>
      </c>
      <c r="T168" s="160" t="s">
        <v>289</v>
      </c>
      <c r="U168" s="160" t="s">
        <v>1765</v>
      </c>
      <c r="V168" s="172"/>
      <c r="X168" s="161" t="s">
        <v>281</v>
      </c>
      <c r="Y168" s="160" t="s">
        <v>1766</v>
      </c>
      <c r="Z168" s="160" t="s">
        <v>811</v>
      </c>
      <c r="AA168" s="160" t="s">
        <v>1767</v>
      </c>
      <c r="AB168" s="160" t="s">
        <v>298</v>
      </c>
      <c r="AC168" s="160" t="s">
        <v>1768</v>
      </c>
      <c r="AE168" s="161" t="s">
        <v>281</v>
      </c>
      <c r="AF168" s="160" t="s">
        <v>1769</v>
      </c>
      <c r="AG168" s="160" t="s">
        <v>1770</v>
      </c>
      <c r="AH168" s="160" t="s">
        <v>1771</v>
      </c>
      <c r="AI168" s="160" t="s">
        <v>303</v>
      </c>
      <c r="AJ168" s="160" t="s">
        <v>1772</v>
      </c>
      <c r="AL168" s="161" t="s">
        <v>281</v>
      </c>
      <c r="AM168" s="160" t="s">
        <v>1773</v>
      </c>
      <c r="AN168" s="160" t="s">
        <v>684</v>
      </c>
      <c r="AO168" s="160" t="s">
        <v>1764</v>
      </c>
      <c r="AP168" s="160" t="s">
        <v>303</v>
      </c>
      <c r="AQ168" s="160" t="s">
        <v>1774</v>
      </c>
      <c r="AR168" s="172"/>
      <c r="AT168" s="161" t="s">
        <v>281</v>
      </c>
      <c r="AU168" s="160" t="s">
        <v>1775</v>
      </c>
      <c r="AV168" s="160" t="s">
        <v>1776</v>
      </c>
      <c r="AW168" s="160" t="s">
        <v>1777</v>
      </c>
      <c r="AX168" s="160" t="s">
        <v>298</v>
      </c>
      <c r="AY168" s="160" t="s">
        <v>1778</v>
      </c>
      <c r="BA168" s="161" t="s">
        <v>281</v>
      </c>
      <c r="BB168" s="160" t="s">
        <v>1779</v>
      </c>
      <c r="BC168" s="160" t="s">
        <v>1780</v>
      </c>
      <c r="BD168" s="160" t="s">
        <v>1781</v>
      </c>
      <c r="BE168" s="160" t="s">
        <v>303</v>
      </c>
      <c r="BF168" s="160" t="s">
        <v>1782</v>
      </c>
      <c r="BH168" s="161" t="s">
        <v>281</v>
      </c>
      <c r="BI168" s="160" t="s">
        <v>1783</v>
      </c>
      <c r="BJ168" s="160" t="s">
        <v>684</v>
      </c>
      <c r="BK168" s="160" t="s">
        <v>1764</v>
      </c>
      <c r="BL168" s="160" t="s">
        <v>303</v>
      </c>
      <c r="BM168" s="160" t="s">
        <v>1784</v>
      </c>
    </row>
    <row r="169" spans="1:65">
      <c r="B169" s="161" t="s">
        <v>317</v>
      </c>
      <c r="C169" s="160" t="s">
        <v>338</v>
      </c>
      <c r="D169" s="160" t="s">
        <v>323</v>
      </c>
      <c r="E169" s="160" t="s">
        <v>1280</v>
      </c>
      <c r="F169" s="160" t="s">
        <v>321</v>
      </c>
      <c r="G169" s="160" t="s">
        <v>1785</v>
      </c>
      <c r="I169" s="161" t="s">
        <v>317</v>
      </c>
      <c r="J169" s="160" t="s">
        <v>338</v>
      </c>
      <c r="K169" s="160" t="s">
        <v>331</v>
      </c>
      <c r="L169" s="160" t="s">
        <v>722</v>
      </c>
      <c r="M169" s="160" t="s">
        <v>324</v>
      </c>
      <c r="N169" s="160" t="s">
        <v>545</v>
      </c>
      <c r="P169" s="161" t="s">
        <v>317</v>
      </c>
      <c r="Q169" s="160" t="s">
        <v>1274</v>
      </c>
      <c r="R169" s="160" t="s">
        <v>369</v>
      </c>
      <c r="S169" s="160" t="s">
        <v>1786</v>
      </c>
      <c r="T169" s="160" t="s">
        <v>324</v>
      </c>
      <c r="U169" s="160" t="s">
        <v>1275</v>
      </c>
      <c r="V169" s="172"/>
      <c r="X169" s="161" t="s">
        <v>317</v>
      </c>
      <c r="Y169" s="160" t="s">
        <v>335</v>
      </c>
      <c r="Z169" s="160" t="s">
        <v>344</v>
      </c>
      <c r="AA169" s="160" t="s">
        <v>1787</v>
      </c>
      <c r="AB169" s="160" t="s">
        <v>333</v>
      </c>
      <c r="AC169" s="160" t="s">
        <v>1788</v>
      </c>
      <c r="AE169" s="161" t="s">
        <v>317</v>
      </c>
      <c r="AF169" s="160" t="s">
        <v>1541</v>
      </c>
      <c r="AG169" s="160" t="s">
        <v>423</v>
      </c>
      <c r="AH169" s="160" t="s">
        <v>722</v>
      </c>
      <c r="AI169" s="160" t="s">
        <v>336</v>
      </c>
      <c r="AJ169" s="160" t="s">
        <v>1789</v>
      </c>
      <c r="AL169" s="161" t="s">
        <v>317</v>
      </c>
      <c r="AM169" s="160" t="s">
        <v>1189</v>
      </c>
      <c r="AN169" s="160" t="s">
        <v>369</v>
      </c>
      <c r="AO169" s="160" t="s">
        <v>1786</v>
      </c>
      <c r="AP169" s="160" t="s">
        <v>336</v>
      </c>
      <c r="AQ169" s="160" t="s">
        <v>1107</v>
      </c>
      <c r="AR169" s="172"/>
      <c r="AT169" s="161" t="s">
        <v>317</v>
      </c>
      <c r="AU169" s="160" t="s">
        <v>1790</v>
      </c>
      <c r="AV169" s="160" t="s">
        <v>423</v>
      </c>
      <c r="AW169" s="160" t="s">
        <v>1787</v>
      </c>
      <c r="AX169" s="160" t="s">
        <v>333</v>
      </c>
      <c r="AY169" s="160" t="s">
        <v>1791</v>
      </c>
      <c r="BA169" s="161" t="s">
        <v>317</v>
      </c>
      <c r="BB169" s="160" t="s">
        <v>1792</v>
      </c>
      <c r="BC169" s="160" t="s">
        <v>658</v>
      </c>
      <c r="BD169" s="160" t="s">
        <v>781</v>
      </c>
      <c r="BE169" s="160" t="s">
        <v>336</v>
      </c>
      <c r="BF169" s="160" t="s">
        <v>1793</v>
      </c>
      <c r="BH169" s="161" t="s">
        <v>317</v>
      </c>
      <c r="BI169" s="160" t="s">
        <v>326</v>
      </c>
      <c r="BJ169" s="160" t="s">
        <v>369</v>
      </c>
      <c r="BK169" s="160" t="s">
        <v>1786</v>
      </c>
      <c r="BL169" s="160" t="s">
        <v>336</v>
      </c>
      <c r="BM169" s="160" t="s">
        <v>1107</v>
      </c>
    </row>
    <row r="170" spans="1:65">
      <c r="B170" s="161" t="s">
        <v>349</v>
      </c>
      <c r="C170" s="160" t="s">
        <v>350</v>
      </c>
      <c r="D170" s="160" t="s">
        <v>327</v>
      </c>
      <c r="E170" s="160" t="s">
        <v>352</v>
      </c>
      <c r="F170" s="160" t="s">
        <v>353</v>
      </c>
      <c r="G170" s="160" t="s">
        <v>1794</v>
      </c>
      <c r="I170" s="161" t="s">
        <v>349</v>
      </c>
      <c r="J170" s="160" t="s">
        <v>355</v>
      </c>
      <c r="K170" s="160" t="s">
        <v>356</v>
      </c>
      <c r="L170" s="160" t="s">
        <v>358</v>
      </c>
      <c r="M170" s="160" t="s">
        <v>353</v>
      </c>
      <c r="N170" s="160" t="s">
        <v>359</v>
      </c>
      <c r="P170" s="161" t="s">
        <v>349</v>
      </c>
      <c r="Q170" s="160" t="s">
        <v>1637</v>
      </c>
      <c r="R170" s="160" t="s">
        <v>352</v>
      </c>
      <c r="S170" s="160" t="s">
        <v>358</v>
      </c>
      <c r="T170" s="160" t="s">
        <v>353</v>
      </c>
      <c r="U170" s="160" t="s">
        <v>1459</v>
      </c>
      <c r="V170" s="172"/>
      <c r="X170" s="161" t="s">
        <v>349</v>
      </c>
      <c r="Y170" s="160" t="s">
        <v>360</v>
      </c>
      <c r="Z170" s="160" t="s">
        <v>369</v>
      </c>
      <c r="AA170" s="160" t="s">
        <v>352</v>
      </c>
      <c r="AB170" s="160" t="s">
        <v>362</v>
      </c>
      <c r="AC170" s="160" t="s">
        <v>363</v>
      </c>
      <c r="AE170" s="161" t="s">
        <v>349</v>
      </c>
      <c r="AF170" s="160" t="s">
        <v>364</v>
      </c>
      <c r="AG170" s="160" t="s">
        <v>351</v>
      </c>
      <c r="AH170" s="160" t="s">
        <v>358</v>
      </c>
      <c r="AI170" s="160" t="s">
        <v>365</v>
      </c>
      <c r="AJ170" s="160" t="s">
        <v>367</v>
      </c>
      <c r="AL170" s="161" t="s">
        <v>349</v>
      </c>
      <c r="AM170" s="160" t="s">
        <v>355</v>
      </c>
      <c r="AN170" s="160" t="s">
        <v>352</v>
      </c>
      <c r="AO170" s="160" t="s">
        <v>358</v>
      </c>
      <c r="AP170" s="160" t="s">
        <v>365</v>
      </c>
      <c r="AQ170" s="160" t="s">
        <v>1795</v>
      </c>
      <c r="AR170" s="172"/>
      <c r="AT170" s="161" t="s">
        <v>349</v>
      </c>
      <c r="AU170" s="160" t="s">
        <v>1287</v>
      </c>
      <c r="AV170" s="160" t="s">
        <v>662</v>
      </c>
      <c r="AW170" s="160" t="s">
        <v>352</v>
      </c>
      <c r="AX170" s="160" t="s">
        <v>362</v>
      </c>
      <c r="AY170" s="160" t="s">
        <v>1796</v>
      </c>
      <c r="BA170" s="161" t="s">
        <v>349</v>
      </c>
      <c r="BB170" s="160" t="s">
        <v>371</v>
      </c>
      <c r="BC170" s="160" t="s">
        <v>351</v>
      </c>
      <c r="BD170" s="160" t="s">
        <v>358</v>
      </c>
      <c r="BE170" s="160" t="s">
        <v>365</v>
      </c>
      <c r="BF170" s="160" t="s">
        <v>366</v>
      </c>
      <c r="BH170" s="161" t="s">
        <v>349</v>
      </c>
      <c r="BI170" s="160" t="s">
        <v>355</v>
      </c>
      <c r="BJ170" s="160" t="s">
        <v>352</v>
      </c>
      <c r="BK170" s="160" t="s">
        <v>358</v>
      </c>
      <c r="BL170" s="160" t="s">
        <v>365</v>
      </c>
      <c r="BM170" s="160" t="s">
        <v>1797</v>
      </c>
    </row>
    <row r="171" spans="1:65">
      <c r="V171" s="172"/>
      <c r="AR171" s="172"/>
    </row>
    <row r="172" spans="1:65" ht="12" customHeight="1">
      <c r="A172" s="165" t="s">
        <v>1798</v>
      </c>
      <c r="B172" s="165"/>
      <c r="C172" s="166"/>
      <c r="D172" s="166"/>
      <c r="E172" s="166"/>
      <c r="F172" s="166"/>
      <c r="G172" s="166"/>
      <c r="H172" s="166"/>
      <c r="I172" s="167"/>
      <c r="J172" s="166"/>
      <c r="K172" s="166"/>
      <c r="L172" s="166"/>
      <c r="M172" s="166"/>
      <c r="N172" s="166"/>
      <c r="O172" s="166"/>
      <c r="P172" s="167"/>
      <c r="Q172" s="166"/>
      <c r="R172" s="166"/>
      <c r="S172" s="166"/>
      <c r="T172" s="166"/>
      <c r="U172" s="166"/>
      <c r="V172" s="168"/>
      <c r="W172" s="166"/>
      <c r="X172" s="167"/>
      <c r="Y172" s="166"/>
      <c r="Z172" s="166"/>
      <c r="AA172" s="166"/>
      <c r="AB172" s="166"/>
      <c r="AC172" s="166"/>
      <c r="AD172" s="166"/>
      <c r="AE172" s="167"/>
      <c r="AF172" s="166"/>
      <c r="AG172" s="166"/>
      <c r="AH172" s="166"/>
      <c r="AI172" s="166"/>
      <c r="AJ172" s="166"/>
      <c r="AK172" s="166"/>
      <c r="AL172" s="167"/>
      <c r="AM172" s="166"/>
      <c r="AN172" s="166"/>
      <c r="AO172" s="166"/>
      <c r="AP172" s="166"/>
      <c r="AQ172" s="166"/>
      <c r="AR172" s="168"/>
      <c r="AS172" s="166"/>
      <c r="AT172" s="167"/>
      <c r="AU172" s="166"/>
      <c r="AV172" s="166"/>
      <c r="AW172" s="166"/>
      <c r="AX172" s="166"/>
      <c r="AY172" s="166"/>
      <c r="AZ172" s="166"/>
      <c r="BA172" s="167"/>
      <c r="BB172" s="166"/>
      <c r="BC172" s="166"/>
      <c r="BD172" s="166"/>
      <c r="BE172" s="166"/>
      <c r="BF172" s="166"/>
      <c r="BG172" s="166"/>
      <c r="BH172" s="167"/>
      <c r="BI172" s="166"/>
      <c r="BJ172" s="166"/>
      <c r="BK172" s="166"/>
      <c r="BL172" s="166"/>
      <c r="BM172" s="166"/>
    </row>
    <row r="173" spans="1:65" s="170" customFormat="1">
      <c r="A173" s="169"/>
      <c r="B173" s="169" t="s">
        <v>1799</v>
      </c>
      <c r="I173" s="169" t="s">
        <v>1800</v>
      </c>
      <c r="P173" s="169" t="s">
        <v>1801</v>
      </c>
      <c r="V173" s="171"/>
      <c r="X173" s="169" t="s">
        <v>1802</v>
      </c>
      <c r="AE173" s="169" t="s">
        <v>1803</v>
      </c>
      <c r="AL173" s="169" t="s">
        <v>1804</v>
      </c>
      <c r="AR173" s="171"/>
      <c r="AT173" s="169" t="s">
        <v>1805</v>
      </c>
      <c r="BA173" s="169" t="s">
        <v>1806</v>
      </c>
      <c r="BH173" s="169" t="s">
        <v>1807</v>
      </c>
    </row>
    <row r="174" spans="1:65">
      <c r="C174" s="160" t="s">
        <v>243</v>
      </c>
      <c r="D174" s="160" t="s">
        <v>23</v>
      </c>
      <c r="E174" s="160" t="s">
        <v>24</v>
      </c>
      <c r="F174" s="160" t="s">
        <v>244</v>
      </c>
      <c r="G174" s="160" t="s">
        <v>26</v>
      </c>
      <c r="J174" s="160" t="s">
        <v>243</v>
      </c>
      <c r="K174" s="160" t="s">
        <v>23</v>
      </c>
      <c r="L174" s="160" t="s">
        <v>24</v>
      </c>
      <c r="M174" s="160" t="s">
        <v>244</v>
      </c>
      <c r="N174" s="160" t="s">
        <v>26</v>
      </c>
      <c r="Q174" s="160" t="s">
        <v>243</v>
      </c>
      <c r="R174" s="160" t="s">
        <v>23</v>
      </c>
      <c r="S174" s="160" t="s">
        <v>24</v>
      </c>
      <c r="T174" s="160" t="s">
        <v>244</v>
      </c>
      <c r="U174" s="160" t="s">
        <v>26</v>
      </c>
      <c r="V174" s="172"/>
      <c r="Y174" s="160" t="s">
        <v>243</v>
      </c>
      <c r="Z174" s="160" t="s">
        <v>23</v>
      </c>
      <c r="AA174" s="160" t="s">
        <v>24</v>
      </c>
      <c r="AB174" s="160" t="s">
        <v>244</v>
      </c>
      <c r="AC174" s="160" t="s">
        <v>26</v>
      </c>
      <c r="AF174" s="160" t="s">
        <v>243</v>
      </c>
      <c r="AG174" s="160" t="s">
        <v>23</v>
      </c>
      <c r="AH174" s="160" t="s">
        <v>24</v>
      </c>
      <c r="AI174" s="160" t="s">
        <v>244</v>
      </c>
      <c r="AJ174" s="160" t="s">
        <v>26</v>
      </c>
      <c r="AM174" s="160" t="s">
        <v>243</v>
      </c>
      <c r="AN174" s="160" t="s">
        <v>23</v>
      </c>
      <c r="AO174" s="160" t="s">
        <v>24</v>
      </c>
      <c r="AP174" s="160" t="s">
        <v>244</v>
      </c>
      <c r="AQ174" s="160" t="s">
        <v>26</v>
      </c>
      <c r="AR174" s="172"/>
      <c r="AU174" s="160" t="s">
        <v>243</v>
      </c>
      <c r="AV174" s="160" t="s">
        <v>23</v>
      </c>
      <c r="AW174" s="160" t="s">
        <v>24</v>
      </c>
      <c r="AX174" s="160" t="s">
        <v>244</v>
      </c>
      <c r="AY174" s="160" t="s">
        <v>26</v>
      </c>
      <c r="BB174" s="160" t="s">
        <v>243</v>
      </c>
      <c r="BC174" s="160" t="s">
        <v>23</v>
      </c>
      <c r="BD174" s="160" t="s">
        <v>24</v>
      </c>
      <c r="BE174" s="160" t="s">
        <v>244</v>
      </c>
      <c r="BF174" s="160" t="s">
        <v>26</v>
      </c>
      <c r="BI174" s="160" t="s">
        <v>243</v>
      </c>
      <c r="BJ174" s="160" t="s">
        <v>23</v>
      </c>
      <c r="BK174" s="160" t="s">
        <v>24</v>
      </c>
      <c r="BL174" s="160" t="s">
        <v>244</v>
      </c>
      <c r="BM174" s="160" t="s">
        <v>26</v>
      </c>
    </row>
    <row r="175" spans="1:65">
      <c r="B175" s="161" t="s">
        <v>26</v>
      </c>
      <c r="C175" s="160" t="s">
        <v>1654</v>
      </c>
      <c r="D175" s="160" t="s">
        <v>1808</v>
      </c>
      <c r="E175" s="160" t="s">
        <v>1809</v>
      </c>
      <c r="F175" s="160" t="s">
        <v>1810</v>
      </c>
      <c r="G175" s="160" t="s">
        <v>1811</v>
      </c>
      <c r="I175" s="161" t="s">
        <v>26</v>
      </c>
      <c r="J175" s="160" t="s">
        <v>1658</v>
      </c>
      <c r="K175" s="160" t="s">
        <v>1812</v>
      </c>
      <c r="L175" s="160" t="s">
        <v>1813</v>
      </c>
      <c r="M175" s="160" t="s">
        <v>1814</v>
      </c>
      <c r="N175" s="160" t="s">
        <v>1815</v>
      </c>
      <c r="P175" s="161" t="s">
        <v>26</v>
      </c>
      <c r="Q175" s="160" t="s">
        <v>1658</v>
      </c>
      <c r="R175" s="160" t="s">
        <v>1812</v>
      </c>
      <c r="S175" s="160" t="s">
        <v>1813</v>
      </c>
      <c r="T175" s="160" t="s">
        <v>1814</v>
      </c>
      <c r="U175" s="160" t="s">
        <v>1815</v>
      </c>
      <c r="V175" s="172"/>
      <c r="X175" s="161" t="s">
        <v>26</v>
      </c>
      <c r="Y175" s="160" t="s">
        <v>1654</v>
      </c>
      <c r="Z175" s="160" t="s">
        <v>1816</v>
      </c>
      <c r="AA175" s="160" t="s">
        <v>1817</v>
      </c>
      <c r="AB175" s="160" t="s">
        <v>1818</v>
      </c>
      <c r="AC175" s="160" t="s">
        <v>1819</v>
      </c>
      <c r="AE175" s="161" t="s">
        <v>26</v>
      </c>
      <c r="AF175" s="160" t="s">
        <v>1658</v>
      </c>
      <c r="AG175" s="160" t="s">
        <v>1820</v>
      </c>
      <c r="AH175" s="160" t="s">
        <v>1821</v>
      </c>
      <c r="AI175" s="160" t="s">
        <v>1822</v>
      </c>
      <c r="AJ175" s="160" t="s">
        <v>1823</v>
      </c>
      <c r="AL175" s="161" t="s">
        <v>26</v>
      </c>
      <c r="AM175" s="160" t="s">
        <v>1658</v>
      </c>
      <c r="AN175" s="160" t="s">
        <v>1820</v>
      </c>
      <c r="AO175" s="160" t="s">
        <v>1821</v>
      </c>
      <c r="AP175" s="160" t="s">
        <v>1822</v>
      </c>
      <c r="AQ175" s="160" t="s">
        <v>1823</v>
      </c>
      <c r="AR175" s="172"/>
      <c r="AT175" s="161" t="s">
        <v>26</v>
      </c>
      <c r="AU175" s="160" t="s">
        <v>1654</v>
      </c>
      <c r="AV175" s="160" t="s">
        <v>1824</v>
      </c>
      <c r="AW175" s="160" t="s">
        <v>1825</v>
      </c>
      <c r="AX175" s="160" t="s">
        <v>1818</v>
      </c>
      <c r="AY175" s="160" t="s">
        <v>1826</v>
      </c>
      <c r="BA175" s="161" t="s">
        <v>26</v>
      </c>
      <c r="BB175" s="160" t="s">
        <v>1658</v>
      </c>
      <c r="BC175" s="160" t="s">
        <v>1827</v>
      </c>
      <c r="BD175" s="160" t="s">
        <v>1828</v>
      </c>
      <c r="BE175" s="160" t="s">
        <v>1822</v>
      </c>
      <c r="BF175" s="160" t="s">
        <v>1829</v>
      </c>
      <c r="BH175" s="161" t="s">
        <v>26</v>
      </c>
      <c r="BI175" s="160" t="s">
        <v>1658</v>
      </c>
      <c r="BJ175" s="160" t="s">
        <v>1827</v>
      </c>
      <c r="BK175" s="160" t="s">
        <v>1828</v>
      </c>
      <c r="BL175" s="160" t="s">
        <v>1822</v>
      </c>
      <c r="BM175" s="160" t="s">
        <v>1829</v>
      </c>
    </row>
    <row r="176" spans="1:65">
      <c r="B176" s="161" t="s">
        <v>281</v>
      </c>
      <c r="C176" s="160" t="s">
        <v>1674</v>
      </c>
      <c r="D176" s="160" t="s">
        <v>1830</v>
      </c>
      <c r="E176" s="160" t="s">
        <v>1831</v>
      </c>
      <c r="F176" s="160" t="s">
        <v>1832</v>
      </c>
      <c r="G176" s="160" t="s">
        <v>1833</v>
      </c>
      <c r="I176" s="161" t="s">
        <v>281</v>
      </c>
      <c r="J176" s="160" t="s">
        <v>1678</v>
      </c>
      <c r="K176" s="160" t="s">
        <v>1834</v>
      </c>
      <c r="L176" s="160" t="s">
        <v>1835</v>
      </c>
      <c r="M176" s="160" t="s">
        <v>1836</v>
      </c>
      <c r="N176" s="160" t="s">
        <v>1837</v>
      </c>
      <c r="P176" s="161" t="s">
        <v>281</v>
      </c>
      <c r="Q176" s="160" t="s">
        <v>1678</v>
      </c>
      <c r="R176" s="160" t="s">
        <v>1834</v>
      </c>
      <c r="S176" s="160" t="s">
        <v>1835</v>
      </c>
      <c r="T176" s="160" t="s">
        <v>1836</v>
      </c>
      <c r="U176" s="160" t="s">
        <v>1837</v>
      </c>
      <c r="V176" s="172"/>
      <c r="X176" s="161" t="s">
        <v>281</v>
      </c>
      <c r="Y176" s="160" t="s">
        <v>1674</v>
      </c>
      <c r="Z176" s="160" t="s">
        <v>1838</v>
      </c>
      <c r="AA176" s="160" t="s">
        <v>1839</v>
      </c>
      <c r="AB176" s="160" t="s">
        <v>1840</v>
      </c>
      <c r="AC176" s="160" t="s">
        <v>1841</v>
      </c>
      <c r="AE176" s="161" t="s">
        <v>281</v>
      </c>
      <c r="AF176" s="160" t="s">
        <v>1678</v>
      </c>
      <c r="AG176" s="160" t="s">
        <v>1842</v>
      </c>
      <c r="AH176" s="160" t="s">
        <v>1843</v>
      </c>
      <c r="AI176" s="160" t="s">
        <v>1844</v>
      </c>
      <c r="AJ176" s="160" t="s">
        <v>1845</v>
      </c>
      <c r="AL176" s="161" t="s">
        <v>281</v>
      </c>
      <c r="AM176" s="160" t="s">
        <v>1678</v>
      </c>
      <c r="AN176" s="160" t="s">
        <v>1842</v>
      </c>
      <c r="AO176" s="160" t="s">
        <v>1843</v>
      </c>
      <c r="AP176" s="160" t="s">
        <v>1844</v>
      </c>
      <c r="AQ176" s="160" t="s">
        <v>1845</v>
      </c>
      <c r="AR176" s="172"/>
      <c r="AT176" s="161" t="s">
        <v>281</v>
      </c>
      <c r="AU176" s="160" t="s">
        <v>1674</v>
      </c>
      <c r="AV176" s="160" t="s">
        <v>1846</v>
      </c>
      <c r="AW176" s="160" t="s">
        <v>1847</v>
      </c>
      <c r="AX176" s="160" t="s">
        <v>1840</v>
      </c>
      <c r="AY176" s="160" t="s">
        <v>1848</v>
      </c>
      <c r="BA176" s="161" t="s">
        <v>281</v>
      </c>
      <c r="BB176" s="160" t="s">
        <v>1678</v>
      </c>
      <c r="BC176" s="160" t="s">
        <v>1849</v>
      </c>
      <c r="BD176" s="160" t="s">
        <v>1850</v>
      </c>
      <c r="BE176" s="160" t="s">
        <v>1844</v>
      </c>
      <c r="BF176" s="160" t="s">
        <v>1851</v>
      </c>
      <c r="BH176" s="161" t="s">
        <v>281</v>
      </c>
      <c r="BI176" s="160" t="s">
        <v>1678</v>
      </c>
      <c r="BJ176" s="160" t="s">
        <v>1849</v>
      </c>
      <c r="BK176" s="160" t="s">
        <v>1850</v>
      </c>
      <c r="BL176" s="160" t="s">
        <v>1844</v>
      </c>
      <c r="BM176" s="160" t="s">
        <v>1851</v>
      </c>
    </row>
    <row r="177" spans="1:65">
      <c r="B177" s="161" t="s">
        <v>317</v>
      </c>
      <c r="C177" s="160" t="s">
        <v>355</v>
      </c>
      <c r="D177" s="160" t="s">
        <v>351</v>
      </c>
      <c r="E177" s="160" t="s">
        <v>458</v>
      </c>
      <c r="F177" s="160" t="s">
        <v>1852</v>
      </c>
      <c r="G177" s="160" t="s">
        <v>1853</v>
      </c>
      <c r="I177" s="161" t="s">
        <v>317</v>
      </c>
      <c r="J177" s="160" t="s">
        <v>364</v>
      </c>
      <c r="K177" s="160" t="s">
        <v>327</v>
      </c>
      <c r="L177" s="160" t="s">
        <v>341</v>
      </c>
      <c r="M177" s="160" t="s">
        <v>1854</v>
      </c>
      <c r="N177" s="160" t="s">
        <v>1855</v>
      </c>
      <c r="P177" s="161" t="s">
        <v>317</v>
      </c>
      <c r="Q177" s="160" t="s">
        <v>364</v>
      </c>
      <c r="R177" s="160" t="s">
        <v>327</v>
      </c>
      <c r="S177" s="160" t="s">
        <v>341</v>
      </c>
      <c r="T177" s="160" t="s">
        <v>1854</v>
      </c>
      <c r="U177" s="160" t="s">
        <v>1855</v>
      </c>
      <c r="V177" s="172"/>
      <c r="X177" s="161" t="s">
        <v>317</v>
      </c>
      <c r="Y177" s="160" t="s">
        <v>355</v>
      </c>
      <c r="Z177" s="160" t="s">
        <v>327</v>
      </c>
      <c r="AA177" s="160" t="s">
        <v>1856</v>
      </c>
      <c r="AB177" s="160" t="s">
        <v>1857</v>
      </c>
      <c r="AC177" s="160" t="s">
        <v>1858</v>
      </c>
      <c r="AE177" s="161" t="s">
        <v>317</v>
      </c>
      <c r="AF177" s="160" t="s">
        <v>364</v>
      </c>
      <c r="AG177" s="160" t="s">
        <v>327</v>
      </c>
      <c r="AH177" s="160" t="s">
        <v>458</v>
      </c>
      <c r="AI177" s="160" t="s">
        <v>1859</v>
      </c>
      <c r="AJ177" s="160" t="s">
        <v>1860</v>
      </c>
      <c r="AL177" s="161" t="s">
        <v>317</v>
      </c>
      <c r="AM177" s="160" t="s">
        <v>364</v>
      </c>
      <c r="AN177" s="160" t="s">
        <v>327</v>
      </c>
      <c r="AO177" s="160" t="s">
        <v>458</v>
      </c>
      <c r="AP177" s="160" t="s">
        <v>1859</v>
      </c>
      <c r="AQ177" s="160" t="s">
        <v>1860</v>
      </c>
      <c r="AR177" s="172"/>
      <c r="AT177" s="161" t="s">
        <v>317</v>
      </c>
      <c r="AU177" s="160" t="s">
        <v>355</v>
      </c>
      <c r="AV177" s="160" t="s">
        <v>369</v>
      </c>
      <c r="AW177" s="160" t="s">
        <v>1861</v>
      </c>
      <c r="AX177" s="160" t="s">
        <v>1857</v>
      </c>
      <c r="AY177" s="160" t="s">
        <v>1862</v>
      </c>
      <c r="BA177" s="161" t="s">
        <v>317</v>
      </c>
      <c r="BB177" s="160" t="s">
        <v>364</v>
      </c>
      <c r="BC177" s="160" t="s">
        <v>319</v>
      </c>
      <c r="BD177" s="160" t="s">
        <v>1863</v>
      </c>
      <c r="BE177" s="160" t="s">
        <v>1859</v>
      </c>
      <c r="BF177" s="160" t="s">
        <v>1864</v>
      </c>
      <c r="BH177" s="161" t="s">
        <v>317</v>
      </c>
      <c r="BI177" s="160" t="s">
        <v>364</v>
      </c>
      <c r="BJ177" s="160" t="s">
        <v>319</v>
      </c>
      <c r="BK177" s="160" t="s">
        <v>1863</v>
      </c>
      <c r="BL177" s="160" t="s">
        <v>1859</v>
      </c>
      <c r="BM177" s="160" t="s">
        <v>1864</v>
      </c>
    </row>
    <row r="178" spans="1:65">
      <c r="B178" s="161" t="s">
        <v>349</v>
      </c>
      <c r="C178" s="160" t="s">
        <v>1711</v>
      </c>
      <c r="D178" s="160" t="s">
        <v>352</v>
      </c>
      <c r="E178" s="160" t="s">
        <v>352</v>
      </c>
      <c r="F178" s="160" t="s">
        <v>1548</v>
      </c>
      <c r="G178" s="160" t="s">
        <v>1550</v>
      </c>
      <c r="I178" s="161" t="s">
        <v>349</v>
      </c>
      <c r="J178" s="160" t="s">
        <v>1711</v>
      </c>
      <c r="K178" s="160" t="s">
        <v>352</v>
      </c>
      <c r="L178" s="160" t="s">
        <v>352</v>
      </c>
      <c r="M178" s="160" t="s">
        <v>353</v>
      </c>
      <c r="N178" s="160" t="s">
        <v>1550</v>
      </c>
      <c r="P178" s="161" t="s">
        <v>349</v>
      </c>
      <c r="Q178" s="160" t="s">
        <v>1711</v>
      </c>
      <c r="R178" s="160" t="s">
        <v>352</v>
      </c>
      <c r="S178" s="160" t="s">
        <v>352</v>
      </c>
      <c r="T178" s="160" t="s">
        <v>353</v>
      </c>
      <c r="U178" s="160" t="s">
        <v>1550</v>
      </c>
      <c r="V178" s="172"/>
      <c r="X178" s="161" t="s">
        <v>349</v>
      </c>
      <c r="Y178" s="160" t="s">
        <v>1711</v>
      </c>
      <c r="Z178" s="160" t="s">
        <v>356</v>
      </c>
      <c r="AA178" s="160" t="s">
        <v>460</v>
      </c>
      <c r="AB178" s="160" t="s">
        <v>1552</v>
      </c>
      <c r="AC178" s="160" t="s">
        <v>372</v>
      </c>
      <c r="AE178" s="161" t="s">
        <v>349</v>
      </c>
      <c r="AF178" s="160" t="s">
        <v>1711</v>
      </c>
      <c r="AG178" s="160" t="s">
        <v>352</v>
      </c>
      <c r="AH178" s="160" t="s">
        <v>352</v>
      </c>
      <c r="AI178" s="160" t="s">
        <v>1552</v>
      </c>
      <c r="AJ178" s="160" t="s">
        <v>366</v>
      </c>
      <c r="AL178" s="161" t="s">
        <v>349</v>
      </c>
      <c r="AM178" s="160" t="s">
        <v>1711</v>
      </c>
      <c r="AN178" s="160" t="s">
        <v>352</v>
      </c>
      <c r="AO178" s="160" t="s">
        <v>352</v>
      </c>
      <c r="AP178" s="160" t="s">
        <v>1552</v>
      </c>
      <c r="AQ178" s="160" t="s">
        <v>366</v>
      </c>
      <c r="AR178" s="172"/>
      <c r="AT178" s="161" t="s">
        <v>349</v>
      </c>
      <c r="AU178" s="160" t="s">
        <v>1711</v>
      </c>
      <c r="AV178" s="160" t="s">
        <v>356</v>
      </c>
      <c r="AW178" s="160" t="s">
        <v>460</v>
      </c>
      <c r="AX178" s="160" t="s">
        <v>1552</v>
      </c>
      <c r="AY178" s="160" t="s">
        <v>1865</v>
      </c>
      <c r="BA178" s="161" t="s">
        <v>349</v>
      </c>
      <c r="BB178" s="160" t="s">
        <v>1711</v>
      </c>
      <c r="BC178" s="160" t="s">
        <v>352</v>
      </c>
      <c r="BD178" s="160" t="s">
        <v>352</v>
      </c>
      <c r="BE178" s="160" t="s">
        <v>1552</v>
      </c>
      <c r="BF178" s="160" t="s">
        <v>372</v>
      </c>
      <c r="BH178" s="161" t="s">
        <v>349</v>
      </c>
      <c r="BI178" s="160" t="s">
        <v>1711</v>
      </c>
      <c r="BJ178" s="160" t="s">
        <v>352</v>
      </c>
      <c r="BK178" s="160" t="s">
        <v>352</v>
      </c>
      <c r="BL178" s="160" t="s">
        <v>1552</v>
      </c>
      <c r="BM178" s="160" t="s">
        <v>372</v>
      </c>
    </row>
    <row r="179" spans="1:65">
      <c r="V179" s="172"/>
      <c r="AR179" s="172"/>
    </row>
    <row r="180" spans="1:65" ht="12" customHeight="1">
      <c r="A180" s="165" t="s">
        <v>1866</v>
      </c>
      <c r="B180" s="165"/>
      <c r="C180" s="166"/>
      <c r="D180" s="166"/>
      <c r="E180" s="166"/>
      <c r="F180" s="166"/>
      <c r="G180" s="166"/>
      <c r="H180" s="166"/>
      <c r="I180" s="167"/>
      <c r="J180" s="166"/>
      <c r="K180" s="166"/>
      <c r="L180" s="166"/>
      <c r="M180" s="166"/>
      <c r="N180" s="166"/>
      <c r="O180" s="166"/>
      <c r="P180" s="167"/>
      <c r="Q180" s="166"/>
      <c r="R180" s="166"/>
      <c r="S180" s="166"/>
      <c r="T180" s="166"/>
      <c r="U180" s="166"/>
      <c r="V180" s="168"/>
      <c r="W180" s="166"/>
      <c r="X180" s="167"/>
      <c r="Y180" s="166"/>
      <c r="Z180" s="166"/>
      <c r="AA180" s="166"/>
      <c r="AB180" s="166"/>
      <c r="AC180" s="166"/>
      <c r="AD180" s="166"/>
      <c r="AE180" s="167"/>
      <c r="AF180" s="166"/>
      <c r="AG180" s="166"/>
      <c r="AH180" s="166"/>
      <c r="AI180" s="166"/>
      <c r="AJ180" s="166"/>
      <c r="AK180" s="166"/>
      <c r="AL180" s="167"/>
      <c r="AM180" s="166"/>
      <c r="AN180" s="166"/>
      <c r="AO180" s="166"/>
      <c r="AP180" s="166"/>
      <c r="AQ180" s="166"/>
      <c r="AR180" s="168"/>
      <c r="AS180" s="166"/>
      <c r="AT180" s="167"/>
      <c r="AU180" s="166"/>
      <c r="AV180" s="166"/>
      <c r="AW180" s="166"/>
      <c r="AX180" s="166"/>
      <c r="AY180" s="166"/>
      <c r="AZ180" s="166"/>
      <c r="BA180" s="167"/>
      <c r="BB180" s="166"/>
      <c r="BC180" s="166"/>
      <c r="BD180" s="166"/>
      <c r="BE180" s="166"/>
      <c r="BF180" s="166"/>
      <c r="BG180" s="166"/>
      <c r="BH180" s="167"/>
      <c r="BI180" s="166"/>
      <c r="BJ180" s="166"/>
      <c r="BK180" s="166"/>
      <c r="BL180" s="166"/>
      <c r="BM180" s="166"/>
    </row>
    <row r="181" spans="1:65" s="170" customFormat="1">
      <c r="A181" s="169"/>
      <c r="B181" s="169" t="s">
        <v>1867</v>
      </c>
      <c r="I181" s="169" t="s">
        <v>1868</v>
      </c>
      <c r="P181" s="169"/>
      <c r="V181" s="171"/>
      <c r="X181" s="169"/>
      <c r="AE181" s="169"/>
      <c r="AL181" s="169"/>
      <c r="AR181" s="171"/>
      <c r="AT181" s="169"/>
      <c r="BA181" s="169"/>
      <c r="BH181" s="169"/>
    </row>
    <row r="182" spans="1:65">
      <c r="C182" s="160" t="s">
        <v>243</v>
      </c>
      <c r="D182" s="160" t="s">
        <v>23</v>
      </c>
      <c r="E182" s="160" t="s">
        <v>24</v>
      </c>
      <c r="F182" s="160" t="s">
        <v>244</v>
      </c>
      <c r="G182" s="160" t="s">
        <v>26</v>
      </c>
      <c r="J182" s="160" t="s">
        <v>243</v>
      </c>
      <c r="K182" s="160" t="s">
        <v>23</v>
      </c>
      <c r="L182" s="160" t="s">
        <v>24</v>
      </c>
      <c r="M182" s="160" t="s">
        <v>244</v>
      </c>
      <c r="N182" s="160" t="s">
        <v>26</v>
      </c>
      <c r="V182" s="172"/>
      <c r="AR182" s="172"/>
    </row>
    <row r="183" spans="1:65">
      <c r="B183" s="161" t="s">
        <v>26</v>
      </c>
      <c r="C183" s="160" t="s">
        <v>1869</v>
      </c>
      <c r="D183" s="160" t="s">
        <v>1870</v>
      </c>
      <c r="E183" s="160" t="s">
        <v>1871</v>
      </c>
      <c r="F183" s="160" t="s">
        <v>1872</v>
      </c>
      <c r="G183" s="160" t="s">
        <v>1873</v>
      </c>
      <c r="I183" s="161" t="s">
        <v>26</v>
      </c>
      <c r="J183" s="160" t="s">
        <v>1874</v>
      </c>
      <c r="K183" s="160" t="s">
        <v>1875</v>
      </c>
      <c r="L183" s="160" t="s">
        <v>1876</v>
      </c>
      <c r="M183" s="160" t="s">
        <v>1872</v>
      </c>
      <c r="N183" s="160" t="s">
        <v>1877</v>
      </c>
      <c r="V183" s="172"/>
      <c r="AR183" s="172"/>
    </row>
    <row r="184" spans="1:65">
      <c r="B184" s="161" t="s">
        <v>281</v>
      </c>
      <c r="C184" s="160" t="s">
        <v>1878</v>
      </c>
      <c r="D184" s="160" t="s">
        <v>1879</v>
      </c>
      <c r="E184" s="160" t="s">
        <v>1880</v>
      </c>
      <c r="F184" s="160" t="s">
        <v>1872</v>
      </c>
      <c r="G184" s="160" t="s">
        <v>1881</v>
      </c>
      <c r="I184" s="161" t="s">
        <v>281</v>
      </c>
      <c r="J184" s="160" t="s">
        <v>1882</v>
      </c>
      <c r="K184" s="160" t="s">
        <v>1883</v>
      </c>
      <c r="L184" s="160" t="s">
        <v>1884</v>
      </c>
      <c r="M184" s="160" t="s">
        <v>1872</v>
      </c>
      <c r="N184" s="160" t="s">
        <v>1885</v>
      </c>
      <c r="V184" s="172"/>
      <c r="AR184" s="172"/>
    </row>
    <row r="185" spans="1:65">
      <c r="B185" s="161" t="s">
        <v>317</v>
      </c>
      <c r="C185" s="160" t="s">
        <v>1886</v>
      </c>
      <c r="D185" s="160" t="s">
        <v>1887</v>
      </c>
      <c r="E185" s="160" t="s">
        <v>1888</v>
      </c>
      <c r="F185" s="160" t="s">
        <v>1872</v>
      </c>
      <c r="G185" s="160" t="s">
        <v>1889</v>
      </c>
      <c r="I185" s="161" t="s">
        <v>317</v>
      </c>
      <c r="J185" s="160" t="s">
        <v>1362</v>
      </c>
      <c r="K185" s="160" t="s">
        <v>1457</v>
      </c>
      <c r="L185" s="160" t="s">
        <v>1890</v>
      </c>
      <c r="M185" s="160" t="s">
        <v>1872</v>
      </c>
      <c r="N185" s="160" t="s">
        <v>1891</v>
      </c>
      <c r="V185" s="172"/>
      <c r="AR185" s="172"/>
    </row>
    <row r="186" spans="1:65">
      <c r="B186" s="161" t="s">
        <v>349</v>
      </c>
      <c r="C186" s="160" t="s">
        <v>1892</v>
      </c>
      <c r="D186" s="160" t="s">
        <v>948</v>
      </c>
      <c r="E186" s="160" t="s">
        <v>1893</v>
      </c>
      <c r="F186" s="160" t="s">
        <v>1872</v>
      </c>
      <c r="G186" s="160" t="s">
        <v>1894</v>
      </c>
      <c r="I186" s="161" t="s">
        <v>349</v>
      </c>
      <c r="J186" s="160" t="s">
        <v>1895</v>
      </c>
      <c r="K186" s="160" t="s">
        <v>352</v>
      </c>
      <c r="L186" s="160" t="s">
        <v>1786</v>
      </c>
      <c r="M186" s="160" t="s">
        <v>1872</v>
      </c>
      <c r="N186" s="160" t="s">
        <v>1896</v>
      </c>
      <c r="V186" s="172"/>
      <c r="AR186" s="172"/>
    </row>
    <row r="187" spans="1:65">
      <c r="V187" s="172"/>
      <c r="AR187" s="172"/>
    </row>
    <row r="188" spans="1:65" ht="12" customHeight="1">
      <c r="A188" s="165" t="s">
        <v>1897</v>
      </c>
      <c r="B188" s="165"/>
      <c r="C188" s="166"/>
      <c r="D188" s="166"/>
      <c r="E188" s="166"/>
      <c r="F188" s="166"/>
      <c r="G188" s="166"/>
      <c r="H188" s="166"/>
      <c r="I188" s="167"/>
      <c r="J188" s="166"/>
      <c r="K188" s="166"/>
      <c r="L188" s="166"/>
      <c r="M188" s="166"/>
      <c r="N188" s="166"/>
      <c r="O188" s="166"/>
      <c r="P188" s="167"/>
      <c r="Q188" s="166"/>
      <c r="R188" s="166"/>
      <c r="S188" s="166"/>
      <c r="T188" s="166"/>
      <c r="U188" s="166"/>
      <c r="V188" s="168"/>
      <c r="W188" s="166"/>
      <c r="X188" s="167"/>
      <c r="Y188" s="166"/>
      <c r="Z188" s="166"/>
      <c r="AA188" s="166"/>
      <c r="AB188" s="166"/>
      <c r="AC188" s="166"/>
      <c r="AD188" s="166"/>
      <c r="AE188" s="167"/>
      <c r="AF188" s="166"/>
      <c r="AG188" s="166"/>
      <c r="AH188" s="166"/>
      <c r="AI188" s="166"/>
      <c r="AJ188" s="166"/>
      <c r="AK188" s="166"/>
      <c r="AL188" s="167"/>
      <c r="AM188" s="166"/>
      <c r="AN188" s="166"/>
      <c r="AO188" s="166"/>
      <c r="AP188" s="166"/>
      <c r="AQ188" s="166"/>
      <c r="AR188" s="168"/>
      <c r="AS188" s="166"/>
      <c r="AT188" s="167"/>
      <c r="AU188" s="166"/>
      <c r="AV188" s="166"/>
      <c r="AW188" s="166"/>
      <c r="AX188" s="166"/>
      <c r="AY188" s="166"/>
      <c r="AZ188" s="166"/>
      <c r="BA188" s="167"/>
      <c r="BB188" s="166"/>
      <c r="BC188" s="166"/>
      <c r="BD188" s="166"/>
      <c r="BE188" s="166"/>
      <c r="BF188" s="166"/>
      <c r="BG188" s="166"/>
      <c r="BH188" s="167"/>
      <c r="BI188" s="166"/>
      <c r="BJ188" s="166"/>
      <c r="BK188" s="166"/>
      <c r="BL188" s="166"/>
      <c r="BM188" s="166"/>
    </row>
    <row r="189" spans="1:65" s="170" customFormat="1">
      <c r="A189" s="169"/>
      <c r="B189" s="169" t="s">
        <v>1898</v>
      </c>
      <c r="I189" s="169" t="s">
        <v>1899</v>
      </c>
      <c r="P189" s="169"/>
      <c r="V189" s="171"/>
      <c r="X189" s="169"/>
      <c r="AE189" s="169"/>
      <c r="AL189" s="169"/>
      <c r="AR189" s="171"/>
      <c r="AT189" s="169"/>
      <c r="BA189" s="169"/>
      <c r="BH189" s="169"/>
    </row>
    <row r="190" spans="1:65">
      <c r="C190" s="160" t="s">
        <v>243</v>
      </c>
      <c r="D190" s="160" t="s">
        <v>23</v>
      </c>
      <c r="E190" s="160" t="s">
        <v>24</v>
      </c>
      <c r="F190" s="160" t="s">
        <v>244</v>
      </c>
      <c r="G190" s="160" t="s">
        <v>26</v>
      </c>
      <c r="J190" s="160" t="s">
        <v>243</v>
      </c>
      <c r="K190" s="160" t="s">
        <v>23</v>
      </c>
      <c r="L190" s="160" t="s">
        <v>24</v>
      </c>
      <c r="M190" s="160" t="s">
        <v>244</v>
      </c>
      <c r="N190" s="160" t="s">
        <v>26</v>
      </c>
      <c r="V190" s="172"/>
      <c r="AR190" s="172"/>
    </row>
    <row r="191" spans="1:65">
      <c r="B191" s="161" t="s">
        <v>26</v>
      </c>
      <c r="C191" s="160" t="s">
        <v>1900</v>
      </c>
      <c r="D191" s="160" t="s">
        <v>1901</v>
      </c>
      <c r="E191" s="160" t="s">
        <v>1902</v>
      </c>
      <c r="F191" s="160" t="s">
        <v>1872</v>
      </c>
      <c r="G191" s="160" t="s">
        <v>1903</v>
      </c>
      <c r="I191" s="161" t="s">
        <v>26</v>
      </c>
      <c r="J191" s="160" t="s">
        <v>1904</v>
      </c>
      <c r="K191" s="160" t="s">
        <v>1905</v>
      </c>
      <c r="L191" s="160" t="s">
        <v>1906</v>
      </c>
      <c r="M191" s="160" t="s">
        <v>1872</v>
      </c>
      <c r="N191" s="160" t="s">
        <v>1907</v>
      </c>
      <c r="V191" s="172"/>
      <c r="AR191" s="172"/>
    </row>
    <row r="192" spans="1:65">
      <c r="B192" s="161" t="s">
        <v>281</v>
      </c>
      <c r="C192" s="160" t="s">
        <v>1908</v>
      </c>
      <c r="D192" s="160" t="s">
        <v>1909</v>
      </c>
      <c r="E192" s="160" t="s">
        <v>1910</v>
      </c>
      <c r="F192" s="160" t="s">
        <v>1872</v>
      </c>
      <c r="G192" s="160" t="s">
        <v>1911</v>
      </c>
      <c r="I192" s="161" t="s">
        <v>281</v>
      </c>
      <c r="J192" s="160" t="s">
        <v>1912</v>
      </c>
      <c r="K192" s="160" t="s">
        <v>1913</v>
      </c>
      <c r="L192" s="160" t="s">
        <v>1914</v>
      </c>
      <c r="M192" s="160" t="s">
        <v>1872</v>
      </c>
      <c r="N192" s="160" t="s">
        <v>1915</v>
      </c>
      <c r="V192" s="172"/>
      <c r="AR192" s="172"/>
    </row>
    <row r="193" spans="1:65">
      <c r="B193" s="161" t="s">
        <v>317</v>
      </c>
      <c r="C193" s="160" t="s">
        <v>1916</v>
      </c>
      <c r="D193" s="160" t="s">
        <v>1917</v>
      </c>
      <c r="E193" s="160" t="s">
        <v>1918</v>
      </c>
      <c r="F193" s="160" t="s">
        <v>1872</v>
      </c>
      <c r="G193" s="160" t="s">
        <v>1919</v>
      </c>
      <c r="I193" s="161" t="s">
        <v>317</v>
      </c>
      <c r="J193" s="160" t="s">
        <v>1920</v>
      </c>
      <c r="K193" s="160" t="s">
        <v>1009</v>
      </c>
      <c r="L193" s="160" t="s">
        <v>1633</v>
      </c>
      <c r="M193" s="160" t="s">
        <v>1872</v>
      </c>
      <c r="N193" s="160" t="s">
        <v>1921</v>
      </c>
      <c r="V193" s="172"/>
      <c r="AR193" s="172"/>
    </row>
    <row r="194" spans="1:65">
      <c r="B194" s="161" t="s">
        <v>349</v>
      </c>
      <c r="C194" s="160" t="s">
        <v>1922</v>
      </c>
      <c r="D194" s="160" t="s">
        <v>1923</v>
      </c>
      <c r="E194" s="160" t="s">
        <v>1893</v>
      </c>
      <c r="F194" s="160" t="s">
        <v>1872</v>
      </c>
      <c r="G194" s="160" t="s">
        <v>1924</v>
      </c>
      <c r="I194" s="161" t="s">
        <v>349</v>
      </c>
      <c r="J194" s="160" t="s">
        <v>350</v>
      </c>
      <c r="K194" s="160" t="s">
        <v>352</v>
      </c>
      <c r="L194" s="160" t="s">
        <v>1636</v>
      </c>
      <c r="M194" s="160" t="s">
        <v>1872</v>
      </c>
      <c r="N194" s="160" t="s">
        <v>1925</v>
      </c>
      <c r="V194" s="172"/>
      <c r="AR194" s="172"/>
    </row>
    <row r="195" spans="1:65">
      <c r="V195" s="172"/>
      <c r="AR195" s="172"/>
    </row>
    <row r="196" spans="1:65" ht="12" customHeight="1">
      <c r="A196" s="165" t="s">
        <v>1926</v>
      </c>
      <c r="B196" s="165"/>
      <c r="C196" s="166"/>
      <c r="D196" s="166"/>
      <c r="E196" s="166"/>
      <c r="F196" s="166"/>
      <c r="G196" s="166"/>
      <c r="H196" s="166"/>
      <c r="I196" s="167"/>
      <c r="J196" s="166"/>
      <c r="K196" s="166"/>
      <c r="L196" s="166"/>
      <c r="M196" s="166"/>
      <c r="N196" s="166"/>
      <c r="O196" s="166"/>
      <c r="P196" s="167"/>
      <c r="Q196" s="166"/>
      <c r="R196" s="166"/>
      <c r="S196" s="166"/>
      <c r="T196" s="166"/>
      <c r="U196" s="166"/>
      <c r="V196" s="168"/>
      <c r="W196" s="166"/>
      <c r="X196" s="167"/>
      <c r="Y196" s="166"/>
      <c r="Z196" s="166"/>
      <c r="AA196" s="166"/>
      <c r="AB196" s="166"/>
      <c r="AC196" s="166"/>
      <c r="AD196" s="166"/>
      <c r="AE196" s="167"/>
      <c r="AF196" s="166"/>
      <c r="AG196" s="166"/>
      <c r="AH196" s="166"/>
      <c r="AI196" s="166"/>
      <c r="AJ196" s="166"/>
      <c r="AK196" s="166"/>
      <c r="AL196" s="167"/>
      <c r="AM196" s="166"/>
      <c r="AN196" s="166"/>
      <c r="AO196" s="166"/>
      <c r="AP196" s="166"/>
      <c r="AQ196" s="166"/>
      <c r="AR196" s="168"/>
      <c r="AS196" s="166"/>
      <c r="AT196" s="167"/>
      <c r="AU196" s="166"/>
      <c r="AV196" s="166"/>
      <c r="AW196" s="166"/>
      <c r="AX196" s="166"/>
      <c r="AY196" s="166"/>
      <c r="AZ196" s="166"/>
      <c r="BA196" s="167"/>
      <c r="BB196" s="166"/>
      <c r="BC196" s="166"/>
      <c r="BD196" s="166"/>
      <c r="BE196" s="166"/>
      <c r="BF196" s="166"/>
      <c r="BG196" s="166"/>
      <c r="BH196" s="167"/>
      <c r="BI196" s="166"/>
      <c r="BJ196" s="166"/>
      <c r="BK196" s="166"/>
      <c r="BL196" s="166"/>
      <c r="BM196" s="166"/>
    </row>
    <row r="197" spans="1:65" s="170" customFormat="1">
      <c r="A197" s="169"/>
      <c r="B197" s="169" t="s">
        <v>1927</v>
      </c>
      <c r="I197" s="169" t="s">
        <v>1928</v>
      </c>
      <c r="P197" s="169"/>
      <c r="V197" s="171"/>
      <c r="X197" s="169"/>
      <c r="AE197" s="169"/>
      <c r="AL197" s="169"/>
      <c r="AR197" s="171"/>
      <c r="AT197" s="169"/>
      <c r="BA197" s="169"/>
      <c r="BH197" s="169"/>
    </row>
    <row r="198" spans="1:65">
      <c r="C198" s="160" t="s">
        <v>243</v>
      </c>
      <c r="D198" s="160" t="s">
        <v>23</v>
      </c>
      <c r="E198" s="160" t="s">
        <v>24</v>
      </c>
      <c r="F198" s="160" t="s">
        <v>244</v>
      </c>
      <c r="G198" s="160" t="s">
        <v>26</v>
      </c>
      <c r="J198" s="160" t="s">
        <v>243</v>
      </c>
      <c r="K198" s="160" t="s">
        <v>23</v>
      </c>
      <c r="L198" s="160" t="s">
        <v>24</v>
      </c>
      <c r="M198" s="160" t="s">
        <v>244</v>
      </c>
      <c r="N198" s="160" t="s">
        <v>26</v>
      </c>
      <c r="V198" s="172"/>
      <c r="AR198" s="172"/>
    </row>
    <row r="199" spans="1:65">
      <c r="B199" s="161" t="s">
        <v>26</v>
      </c>
      <c r="C199" s="160" t="s">
        <v>1929</v>
      </c>
      <c r="D199" s="160" t="s">
        <v>1930</v>
      </c>
      <c r="E199" s="160" t="s">
        <v>1931</v>
      </c>
      <c r="F199" s="160" t="s">
        <v>1872</v>
      </c>
      <c r="G199" s="160" t="s">
        <v>1932</v>
      </c>
      <c r="I199" s="161" t="s">
        <v>26</v>
      </c>
      <c r="J199" s="160" t="s">
        <v>1933</v>
      </c>
      <c r="K199" s="160" t="s">
        <v>1934</v>
      </c>
      <c r="L199" s="160" t="s">
        <v>1935</v>
      </c>
      <c r="M199" s="160" t="s">
        <v>1872</v>
      </c>
      <c r="N199" s="160" t="s">
        <v>1936</v>
      </c>
      <c r="V199" s="172"/>
      <c r="AR199" s="172"/>
    </row>
    <row r="200" spans="1:65">
      <c r="B200" s="161" t="s">
        <v>281</v>
      </c>
      <c r="C200" s="160" t="s">
        <v>1937</v>
      </c>
      <c r="D200" s="160" t="s">
        <v>1938</v>
      </c>
      <c r="E200" s="160" t="s">
        <v>1939</v>
      </c>
      <c r="F200" s="160" t="s">
        <v>1872</v>
      </c>
      <c r="G200" s="160" t="s">
        <v>1940</v>
      </c>
      <c r="I200" s="161" t="s">
        <v>281</v>
      </c>
      <c r="J200" s="160" t="s">
        <v>1941</v>
      </c>
      <c r="K200" s="160" t="s">
        <v>1942</v>
      </c>
      <c r="L200" s="160" t="s">
        <v>1943</v>
      </c>
      <c r="M200" s="160" t="s">
        <v>1872</v>
      </c>
      <c r="N200" s="160" t="s">
        <v>1944</v>
      </c>
      <c r="V200" s="172"/>
      <c r="AR200" s="172"/>
    </row>
    <row r="201" spans="1:65">
      <c r="B201" s="161" t="s">
        <v>317</v>
      </c>
      <c r="C201" s="160" t="s">
        <v>1945</v>
      </c>
      <c r="D201" s="160" t="s">
        <v>1195</v>
      </c>
      <c r="E201" s="160" t="s">
        <v>1856</v>
      </c>
      <c r="F201" s="160" t="s">
        <v>1872</v>
      </c>
      <c r="G201" s="160" t="s">
        <v>1946</v>
      </c>
      <c r="I201" s="161" t="s">
        <v>317</v>
      </c>
      <c r="J201" s="160" t="s">
        <v>1947</v>
      </c>
      <c r="K201" s="160" t="s">
        <v>1009</v>
      </c>
      <c r="L201" s="160" t="s">
        <v>1621</v>
      </c>
      <c r="M201" s="160" t="s">
        <v>1872</v>
      </c>
      <c r="N201" s="160" t="s">
        <v>1948</v>
      </c>
      <c r="V201" s="172"/>
      <c r="AR201" s="172"/>
    </row>
    <row r="202" spans="1:65">
      <c r="B202" s="161" t="s">
        <v>349</v>
      </c>
      <c r="C202" s="160" t="s">
        <v>1949</v>
      </c>
      <c r="D202" s="160" t="s">
        <v>1446</v>
      </c>
      <c r="E202" s="160" t="s">
        <v>1636</v>
      </c>
      <c r="F202" s="160" t="s">
        <v>1872</v>
      </c>
      <c r="G202" s="160" t="s">
        <v>1950</v>
      </c>
      <c r="I202" s="161" t="s">
        <v>349</v>
      </c>
      <c r="J202" s="160" t="s">
        <v>1547</v>
      </c>
      <c r="K202" s="160" t="s">
        <v>352</v>
      </c>
      <c r="L202" s="160" t="s">
        <v>352</v>
      </c>
      <c r="M202" s="160" t="s">
        <v>1872</v>
      </c>
      <c r="N202" s="160" t="s">
        <v>1951</v>
      </c>
      <c r="V202" s="172"/>
      <c r="AR202" s="172"/>
    </row>
    <row r="203" spans="1:65">
      <c r="V203" s="172"/>
      <c r="AR203" s="172"/>
    </row>
    <row r="204" spans="1:65" ht="12" customHeight="1">
      <c r="A204" s="165" t="s">
        <v>1952</v>
      </c>
      <c r="B204" s="165"/>
      <c r="C204" s="166"/>
      <c r="D204" s="166"/>
      <c r="E204" s="166"/>
      <c r="F204" s="166"/>
      <c r="G204" s="166"/>
      <c r="H204" s="166"/>
      <c r="I204" s="167"/>
      <c r="J204" s="166"/>
      <c r="K204" s="166"/>
      <c r="L204" s="166"/>
      <c r="M204" s="166"/>
      <c r="N204" s="166"/>
      <c r="O204" s="166"/>
      <c r="P204" s="167"/>
      <c r="Q204" s="166"/>
      <c r="R204" s="166"/>
      <c r="S204" s="166"/>
      <c r="T204" s="166"/>
      <c r="U204" s="166"/>
      <c r="V204" s="168"/>
      <c r="W204" s="166"/>
      <c r="X204" s="167"/>
      <c r="Y204" s="166"/>
      <c r="Z204" s="166"/>
      <c r="AA204" s="166"/>
      <c r="AB204" s="166"/>
      <c r="AC204" s="166"/>
      <c r="AD204" s="166"/>
      <c r="AE204" s="167"/>
      <c r="AF204" s="166"/>
      <c r="AG204" s="166"/>
      <c r="AH204" s="166"/>
      <c r="AI204" s="166"/>
      <c r="AJ204" s="166"/>
      <c r="AK204" s="166"/>
      <c r="AL204" s="167"/>
      <c r="AM204" s="166"/>
      <c r="AN204" s="166"/>
      <c r="AO204" s="166"/>
      <c r="AP204" s="166"/>
      <c r="AQ204" s="166"/>
      <c r="AR204" s="168"/>
      <c r="AS204" s="166"/>
      <c r="AT204" s="167"/>
      <c r="AU204" s="166"/>
      <c r="AV204" s="166"/>
      <c r="AW204" s="166"/>
      <c r="AX204" s="166"/>
      <c r="AY204" s="166"/>
      <c r="AZ204" s="166"/>
      <c r="BA204" s="167"/>
      <c r="BB204" s="166"/>
      <c r="BC204" s="166"/>
      <c r="BD204" s="166"/>
      <c r="BE204" s="166"/>
      <c r="BF204" s="166"/>
      <c r="BG204" s="166"/>
      <c r="BH204" s="167"/>
      <c r="BI204" s="166"/>
      <c r="BJ204" s="166"/>
      <c r="BK204" s="166"/>
      <c r="BL204" s="166"/>
      <c r="BM204" s="166"/>
    </row>
    <row r="205" spans="1:65" s="170" customFormat="1">
      <c r="A205" s="169"/>
      <c r="B205" s="169" t="s">
        <v>1953</v>
      </c>
      <c r="I205" s="169" t="s">
        <v>1954</v>
      </c>
      <c r="P205" s="169"/>
      <c r="V205" s="171"/>
      <c r="X205" s="169"/>
      <c r="AE205" s="169"/>
      <c r="AL205" s="169"/>
      <c r="AR205" s="171"/>
      <c r="AT205" s="169"/>
      <c r="BA205" s="169"/>
      <c r="BH205" s="169"/>
    </row>
    <row r="206" spans="1:65">
      <c r="C206" s="160" t="s">
        <v>243</v>
      </c>
      <c r="D206" s="160" t="s">
        <v>23</v>
      </c>
      <c r="E206" s="160" t="s">
        <v>24</v>
      </c>
      <c r="F206" s="160" t="s">
        <v>244</v>
      </c>
      <c r="G206" s="160" t="s">
        <v>26</v>
      </c>
      <c r="J206" s="160" t="s">
        <v>243</v>
      </c>
      <c r="K206" s="160" t="s">
        <v>23</v>
      </c>
      <c r="L206" s="160" t="s">
        <v>24</v>
      </c>
      <c r="M206" s="160" t="s">
        <v>244</v>
      </c>
      <c r="N206" s="160" t="s">
        <v>26</v>
      </c>
      <c r="V206" s="172"/>
      <c r="AR206" s="172"/>
    </row>
    <row r="207" spans="1:65" s="174" customFormat="1">
      <c r="A207" s="173"/>
      <c r="B207" s="173" t="s">
        <v>26</v>
      </c>
      <c r="C207" s="174" t="s">
        <v>1955</v>
      </c>
      <c r="D207" s="174" t="s">
        <v>1956</v>
      </c>
      <c r="E207" s="174" t="s">
        <v>1957</v>
      </c>
      <c r="F207" s="174" t="s">
        <v>1872</v>
      </c>
      <c r="G207" s="174" t="s">
        <v>1958</v>
      </c>
      <c r="I207" s="173" t="s">
        <v>26</v>
      </c>
      <c r="J207" s="174" t="s">
        <v>1959</v>
      </c>
      <c r="K207" s="174" t="s">
        <v>1960</v>
      </c>
      <c r="L207" s="174" t="s">
        <v>1961</v>
      </c>
      <c r="M207" s="174" t="s">
        <v>1872</v>
      </c>
      <c r="N207" s="174" t="s">
        <v>1962</v>
      </c>
      <c r="P207" s="173"/>
      <c r="V207" s="175"/>
      <c r="X207" s="173"/>
      <c r="AE207" s="173"/>
      <c r="AL207" s="173"/>
      <c r="AR207" s="175"/>
      <c r="AT207" s="173"/>
      <c r="BA207" s="173"/>
      <c r="BH207" s="173"/>
    </row>
    <row r="208" spans="1:65">
      <c r="B208" s="161" t="s">
        <v>281</v>
      </c>
      <c r="C208" s="160" t="s">
        <v>1963</v>
      </c>
      <c r="D208" s="160" t="s">
        <v>1964</v>
      </c>
      <c r="E208" s="160" t="s">
        <v>1965</v>
      </c>
      <c r="F208" s="160" t="s">
        <v>1872</v>
      </c>
      <c r="G208" s="160" t="s">
        <v>1966</v>
      </c>
      <c r="I208" s="161" t="s">
        <v>281</v>
      </c>
      <c r="J208" s="160" t="s">
        <v>1967</v>
      </c>
      <c r="K208" s="160" t="s">
        <v>1968</v>
      </c>
      <c r="L208" s="160" t="s">
        <v>1969</v>
      </c>
      <c r="M208" s="160" t="s">
        <v>1872</v>
      </c>
      <c r="N208" s="160" t="s">
        <v>1970</v>
      </c>
      <c r="V208" s="172"/>
      <c r="AR208" s="172"/>
    </row>
    <row r="209" spans="1:65">
      <c r="B209" s="161" t="s">
        <v>317</v>
      </c>
      <c r="C209" s="160" t="s">
        <v>1971</v>
      </c>
      <c r="D209" s="160" t="s">
        <v>1972</v>
      </c>
      <c r="E209" s="160" t="s">
        <v>1973</v>
      </c>
      <c r="F209" s="160" t="s">
        <v>1872</v>
      </c>
      <c r="G209" s="160" t="s">
        <v>1974</v>
      </c>
      <c r="I209" s="161" t="s">
        <v>317</v>
      </c>
      <c r="J209" s="160" t="s">
        <v>922</v>
      </c>
      <c r="K209" s="160" t="s">
        <v>1975</v>
      </c>
      <c r="L209" s="160" t="s">
        <v>1976</v>
      </c>
      <c r="M209" s="160" t="s">
        <v>1872</v>
      </c>
      <c r="N209" s="160" t="s">
        <v>1977</v>
      </c>
      <c r="V209" s="172"/>
      <c r="AR209" s="172"/>
    </row>
    <row r="210" spans="1:65">
      <c r="B210" s="161" t="s">
        <v>349</v>
      </c>
      <c r="C210" s="160" t="s">
        <v>1978</v>
      </c>
      <c r="D210" s="160" t="s">
        <v>943</v>
      </c>
      <c r="E210" s="160" t="s">
        <v>1636</v>
      </c>
      <c r="F210" s="160" t="s">
        <v>1872</v>
      </c>
      <c r="G210" s="160" t="s">
        <v>1979</v>
      </c>
      <c r="I210" s="161" t="s">
        <v>349</v>
      </c>
      <c r="J210" s="160" t="s">
        <v>1547</v>
      </c>
      <c r="K210" s="160" t="s">
        <v>356</v>
      </c>
      <c r="L210" s="160" t="s">
        <v>352</v>
      </c>
      <c r="M210" s="160" t="s">
        <v>1872</v>
      </c>
      <c r="N210" s="160" t="s">
        <v>1951</v>
      </c>
      <c r="V210" s="172"/>
      <c r="AR210" s="172"/>
    </row>
    <row r="211" spans="1:65">
      <c r="V211" s="172"/>
      <c r="AR211" s="172"/>
    </row>
    <row r="212" spans="1:65" ht="12" customHeight="1">
      <c r="A212" s="165" t="s">
        <v>1980</v>
      </c>
      <c r="B212" s="165"/>
      <c r="C212" s="166"/>
      <c r="D212" s="166"/>
      <c r="E212" s="166"/>
      <c r="F212" s="166"/>
      <c r="G212" s="166"/>
      <c r="H212" s="166"/>
      <c r="I212" s="167"/>
      <c r="J212" s="166"/>
      <c r="K212" s="166"/>
      <c r="L212" s="166"/>
      <c r="M212" s="166"/>
      <c r="N212" s="166"/>
      <c r="O212" s="166"/>
      <c r="P212" s="167"/>
      <c r="Q212" s="166"/>
      <c r="R212" s="166"/>
      <c r="S212" s="166"/>
      <c r="T212" s="166"/>
      <c r="U212" s="166"/>
      <c r="V212" s="168"/>
      <c r="W212" s="166"/>
      <c r="X212" s="167"/>
      <c r="Y212" s="166"/>
      <c r="Z212" s="166"/>
      <c r="AA212" s="166"/>
      <c r="AB212" s="166"/>
      <c r="AC212" s="166"/>
      <c r="AD212" s="166"/>
      <c r="AE212" s="167"/>
      <c r="AF212" s="166"/>
      <c r="AG212" s="166"/>
      <c r="AH212" s="166"/>
      <c r="AI212" s="166"/>
      <c r="AJ212" s="166"/>
      <c r="AK212" s="166"/>
      <c r="AL212" s="167"/>
      <c r="AM212" s="166"/>
      <c r="AN212" s="166"/>
      <c r="AO212" s="166"/>
      <c r="AP212" s="166"/>
      <c r="AQ212" s="166"/>
      <c r="AR212" s="168"/>
      <c r="AS212" s="166"/>
      <c r="AT212" s="167"/>
      <c r="AU212" s="166"/>
      <c r="AV212" s="166"/>
      <c r="AW212" s="166"/>
      <c r="AX212" s="166"/>
      <c r="AY212" s="166"/>
      <c r="AZ212" s="166"/>
      <c r="BA212" s="167"/>
      <c r="BB212" s="166"/>
      <c r="BC212" s="166"/>
      <c r="BD212" s="166"/>
      <c r="BE212" s="166"/>
      <c r="BF212" s="166"/>
      <c r="BG212" s="166"/>
      <c r="BH212" s="167"/>
      <c r="BI212" s="166"/>
      <c r="BJ212" s="166"/>
      <c r="BK212" s="166"/>
      <c r="BL212" s="166"/>
      <c r="BM212" s="166"/>
    </row>
    <row r="213" spans="1:65" s="170" customFormat="1">
      <c r="A213" s="169"/>
      <c r="B213" s="169" t="s">
        <v>1981</v>
      </c>
      <c r="I213" s="169" t="s">
        <v>1982</v>
      </c>
      <c r="P213" s="169"/>
      <c r="V213" s="171"/>
      <c r="X213" s="169"/>
      <c r="AE213" s="169"/>
      <c r="AL213" s="169"/>
      <c r="AR213" s="171"/>
      <c r="AT213" s="169"/>
      <c r="BA213" s="169"/>
      <c r="BH213" s="169"/>
    </row>
    <row r="214" spans="1:65">
      <c r="C214" s="160" t="s">
        <v>243</v>
      </c>
      <c r="D214" s="160" t="s">
        <v>23</v>
      </c>
      <c r="E214" s="160" t="s">
        <v>24</v>
      </c>
      <c r="F214" s="160" t="s">
        <v>244</v>
      </c>
      <c r="G214" s="160" t="s">
        <v>26</v>
      </c>
      <c r="J214" s="160" t="s">
        <v>243</v>
      </c>
      <c r="K214" s="160" t="s">
        <v>23</v>
      </c>
      <c r="L214" s="160" t="s">
        <v>24</v>
      </c>
      <c r="M214" s="160" t="s">
        <v>244</v>
      </c>
      <c r="N214" s="160" t="s">
        <v>26</v>
      </c>
      <c r="V214" s="172"/>
      <c r="AR214" s="172"/>
    </row>
    <row r="215" spans="1:65">
      <c r="B215" s="161" t="s">
        <v>26</v>
      </c>
      <c r="C215" s="160" t="s">
        <v>1983</v>
      </c>
      <c r="D215" s="160" t="s">
        <v>1984</v>
      </c>
      <c r="E215" s="160" t="s">
        <v>1985</v>
      </c>
      <c r="F215" s="160" t="s">
        <v>1872</v>
      </c>
      <c r="G215" s="160" t="s">
        <v>1986</v>
      </c>
      <c r="I215" s="161" t="s">
        <v>26</v>
      </c>
      <c r="J215" s="160" t="s">
        <v>1987</v>
      </c>
      <c r="K215" s="160" t="s">
        <v>1988</v>
      </c>
      <c r="L215" s="160" t="s">
        <v>1989</v>
      </c>
      <c r="M215" s="160" t="s">
        <v>1872</v>
      </c>
      <c r="N215" s="160" t="s">
        <v>1990</v>
      </c>
      <c r="V215" s="172"/>
      <c r="AR215" s="172"/>
    </row>
    <row r="216" spans="1:65">
      <c r="B216" s="161" t="s">
        <v>281</v>
      </c>
      <c r="C216" s="160" t="s">
        <v>1991</v>
      </c>
      <c r="D216" s="160" t="s">
        <v>1992</v>
      </c>
      <c r="E216" s="160" t="s">
        <v>1993</v>
      </c>
      <c r="F216" s="160" t="s">
        <v>1872</v>
      </c>
      <c r="G216" s="160" t="s">
        <v>1994</v>
      </c>
      <c r="I216" s="161" t="s">
        <v>281</v>
      </c>
      <c r="J216" s="160" t="s">
        <v>1995</v>
      </c>
      <c r="K216" s="160" t="s">
        <v>1996</v>
      </c>
      <c r="L216" s="160" t="s">
        <v>1997</v>
      </c>
      <c r="M216" s="160" t="s">
        <v>1872</v>
      </c>
      <c r="N216" s="160" t="s">
        <v>1998</v>
      </c>
      <c r="V216" s="172"/>
      <c r="AR216" s="172"/>
    </row>
    <row r="217" spans="1:65">
      <c r="B217" s="161" t="s">
        <v>317</v>
      </c>
      <c r="C217" s="160" t="s">
        <v>1999</v>
      </c>
      <c r="D217" s="160" t="s">
        <v>1012</v>
      </c>
      <c r="E217" s="160" t="s">
        <v>1863</v>
      </c>
      <c r="F217" s="160" t="s">
        <v>1872</v>
      </c>
      <c r="G217" s="160" t="s">
        <v>2000</v>
      </c>
      <c r="I217" s="161" t="s">
        <v>317</v>
      </c>
      <c r="J217" s="160" t="s">
        <v>2001</v>
      </c>
      <c r="K217" s="160" t="s">
        <v>1022</v>
      </c>
      <c r="L217" s="160" t="s">
        <v>1976</v>
      </c>
      <c r="M217" s="160" t="s">
        <v>1872</v>
      </c>
      <c r="N217" s="160" t="s">
        <v>2002</v>
      </c>
      <c r="V217" s="172"/>
      <c r="AR217" s="172"/>
    </row>
    <row r="218" spans="1:65">
      <c r="B218" s="161" t="s">
        <v>349</v>
      </c>
      <c r="C218" s="160" t="s">
        <v>2003</v>
      </c>
      <c r="D218" s="160" t="s">
        <v>2004</v>
      </c>
      <c r="E218" s="160" t="s">
        <v>1636</v>
      </c>
      <c r="F218" s="160" t="s">
        <v>1872</v>
      </c>
      <c r="G218" s="160" t="s">
        <v>2005</v>
      </c>
      <c r="I218" s="161" t="s">
        <v>349</v>
      </c>
      <c r="J218" s="160" t="s">
        <v>2006</v>
      </c>
      <c r="K218" s="160" t="s">
        <v>356</v>
      </c>
      <c r="L218" s="160" t="s">
        <v>352</v>
      </c>
      <c r="M218" s="160" t="s">
        <v>1872</v>
      </c>
      <c r="N218" s="160" t="s">
        <v>2007</v>
      </c>
      <c r="V218" s="172"/>
      <c r="AR218" s="172"/>
    </row>
    <row r="219" spans="1:65">
      <c r="V219" s="172"/>
      <c r="AR219" s="172"/>
    </row>
    <row r="220" spans="1:65" ht="12" customHeight="1">
      <c r="A220" s="165" t="s">
        <v>2008</v>
      </c>
      <c r="B220" s="165"/>
      <c r="C220" s="166"/>
      <c r="D220" s="166"/>
      <c r="E220" s="166"/>
      <c r="F220" s="166"/>
      <c r="G220" s="166"/>
      <c r="H220" s="166"/>
      <c r="I220" s="167"/>
      <c r="J220" s="166"/>
      <c r="K220" s="166"/>
      <c r="L220" s="166"/>
      <c r="M220" s="166"/>
      <c r="N220" s="166"/>
      <c r="O220" s="166"/>
      <c r="P220" s="167"/>
      <c r="Q220" s="166"/>
      <c r="R220" s="166"/>
      <c r="S220" s="166"/>
      <c r="T220" s="166"/>
      <c r="U220" s="166"/>
      <c r="V220" s="168"/>
      <c r="W220" s="166"/>
      <c r="X220" s="167"/>
      <c r="Y220" s="166"/>
      <c r="Z220" s="166"/>
      <c r="AA220" s="166"/>
      <c r="AB220" s="166"/>
      <c r="AC220" s="166"/>
      <c r="AD220" s="166"/>
      <c r="AE220" s="167"/>
      <c r="AF220" s="166"/>
      <c r="AG220" s="166"/>
      <c r="AH220" s="166"/>
      <c r="AI220" s="166"/>
      <c r="AJ220" s="166"/>
      <c r="AK220" s="166"/>
      <c r="AL220" s="167"/>
      <c r="AM220" s="166"/>
      <c r="AN220" s="166"/>
      <c r="AO220" s="166"/>
      <c r="AP220" s="166"/>
      <c r="AQ220" s="166"/>
      <c r="AR220" s="168"/>
      <c r="AS220" s="166"/>
      <c r="AT220" s="167"/>
      <c r="AU220" s="166"/>
      <c r="AV220" s="166"/>
      <c r="AW220" s="166"/>
      <c r="AX220" s="166"/>
      <c r="AY220" s="166"/>
      <c r="AZ220" s="166"/>
      <c r="BA220" s="167"/>
      <c r="BB220" s="166"/>
      <c r="BC220" s="166"/>
      <c r="BD220" s="166"/>
      <c r="BE220" s="166"/>
      <c r="BF220" s="166"/>
      <c r="BG220" s="166"/>
      <c r="BH220" s="167"/>
      <c r="BI220" s="166"/>
      <c r="BJ220" s="166"/>
      <c r="BK220" s="166"/>
      <c r="BL220" s="166"/>
      <c r="BM220" s="166"/>
    </row>
    <row r="221" spans="1:65" s="170" customFormat="1">
      <c r="A221" s="169"/>
      <c r="B221" s="169" t="s">
        <v>2009</v>
      </c>
      <c r="I221" s="169" t="s">
        <v>2010</v>
      </c>
      <c r="P221" s="169"/>
      <c r="V221" s="171"/>
      <c r="X221" s="169"/>
      <c r="AE221" s="169"/>
      <c r="AL221" s="169"/>
      <c r="AR221" s="171"/>
      <c r="AT221" s="169"/>
      <c r="BA221" s="169"/>
      <c r="BH221" s="169"/>
    </row>
    <row r="222" spans="1:65">
      <c r="C222" s="160" t="s">
        <v>243</v>
      </c>
      <c r="D222" s="160" t="s">
        <v>23</v>
      </c>
      <c r="E222" s="160" t="s">
        <v>24</v>
      </c>
      <c r="F222" s="160" t="s">
        <v>244</v>
      </c>
      <c r="G222" s="160" t="s">
        <v>26</v>
      </c>
      <c r="J222" s="160" t="s">
        <v>243</v>
      </c>
      <c r="K222" s="160" t="s">
        <v>23</v>
      </c>
      <c r="L222" s="160" t="s">
        <v>24</v>
      </c>
      <c r="M222" s="160" t="s">
        <v>244</v>
      </c>
      <c r="N222" s="160" t="s">
        <v>26</v>
      </c>
      <c r="V222" s="172"/>
      <c r="AR222" s="172"/>
    </row>
    <row r="223" spans="1:65">
      <c r="B223" s="161" t="s">
        <v>26</v>
      </c>
      <c r="C223" s="160" t="s">
        <v>2011</v>
      </c>
      <c r="D223" s="160" t="s">
        <v>2012</v>
      </c>
      <c r="E223" s="160" t="s">
        <v>2013</v>
      </c>
      <c r="F223" s="160" t="s">
        <v>1872</v>
      </c>
      <c r="G223" s="160" t="s">
        <v>2014</v>
      </c>
      <c r="I223" s="161" t="s">
        <v>26</v>
      </c>
      <c r="J223" s="160" t="s">
        <v>2015</v>
      </c>
      <c r="K223" s="160" t="s">
        <v>2016</v>
      </c>
      <c r="L223" s="160" t="s">
        <v>2017</v>
      </c>
      <c r="M223" s="160" t="s">
        <v>1872</v>
      </c>
      <c r="N223" s="160" t="s">
        <v>2018</v>
      </c>
      <c r="V223" s="172"/>
      <c r="AR223" s="172"/>
    </row>
    <row r="224" spans="1:65">
      <c r="B224" s="161" t="s">
        <v>281</v>
      </c>
      <c r="C224" s="160" t="s">
        <v>2019</v>
      </c>
      <c r="D224" s="160" t="s">
        <v>2020</v>
      </c>
      <c r="E224" s="160" t="s">
        <v>2021</v>
      </c>
      <c r="F224" s="160" t="s">
        <v>1872</v>
      </c>
      <c r="G224" s="160" t="s">
        <v>2022</v>
      </c>
      <c r="I224" s="161" t="s">
        <v>281</v>
      </c>
      <c r="J224" s="160" t="s">
        <v>2023</v>
      </c>
      <c r="K224" s="160" t="s">
        <v>2024</v>
      </c>
      <c r="L224" s="160" t="s">
        <v>2025</v>
      </c>
      <c r="M224" s="160" t="s">
        <v>1872</v>
      </c>
      <c r="N224" s="160" t="s">
        <v>2026</v>
      </c>
      <c r="V224" s="172"/>
      <c r="AR224" s="172"/>
    </row>
    <row r="225" spans="1:65">
      <c r="B225" s="161" t="s">
        <v>317</v>
      </c>
      <c r="C225" s="160" t="s">
        <v>2027</v>
      </c>
      <c r="D225" s="160" t="s">
        <v>2028</v>
      </c>
      <c r="E225" s="160" t="s">
        <v>2029</v>
      </c>
      <c r="F225" s="160" t="s">
        <v>1872</v>
      </c>
      <c r="G225" s="160" t="s">
        <v>2030</v>
      </c>
      <c r="I225" s="161" t="s">
        <v>317</v>
      </c>
      <c r="J225" s="160" t="s">
        <v>2031</v>
      </c>
      <c r="K225" s="160" t="s">
        <v>2032</v>
      </c>
      <c r="L225" s="160" t="s">
        <v>1618</v>
      </c>
      <c r="M225" s="160" t="s">
        <v>1872</v>
      </c>
      <c r="N225" s="160" t="s">
        <v>2033</v>
      </c>
      <c r="V225" s="172"/>
      <c r="AR225" s="172"/>
    </row>
    <row r="226" spans="1:65">
      <c r="B226" s="161" t="s">
        <v>349</v>
      </c>
      <c r="C226" s="160" t="s">
        <v>2034</v>
      </c>
      <c r="D226" s="160" t="s">
        <v>1923</v>
      </c>
      <c r="E226" s="160" t="s">
        <v>2035</v>
      </c>
      <c r="F226" s="160" t="s">
        <v>1872</v>
      </c>
      <c r="G226" s="160" t="s">
        <v>2036</v>
      </c>
      <c r="I226" s="161" t="s">
        <v>349</v>
      </c>
      <c r="J226" s="160" t="s">
        <v>2006</v>
      </c>
      <c r="K226" s="160" t="s">
        <v>356</v>
      </c>
      <c r="L226" s="160" t="s">
        <v>356</v>
      </c>
      <c r="M226" s="160" t="s">
        <v>1872</v>
      </c>
      <c r="N226" s="160" t="s">
        <v>2037</v>
      </c>
      <c r="V226" s="172"/>
      <c r="AR226" s="172"/>
    </row>
    <row r="227" spans="1:65">
      <c r="V227" s="172"/>
      <c r="AR227" s="172"/>
    </row>
    <row r="228" spans="1:65" ht="12" customHeight="1">
      <c r="A228" s="165" t="s">
        <v>2038</v>
      </c>
      <c r="B228" s="165"/>
      <c r="C228" s="166"/>
      <c r="D228" s="166"/>
      <c r="E228" s="166"/>
      <c r="F228" s="166"/>
      <c r="G228" s="166"/>
      <c r="H228" s="166"/>
      <c r="I228" s="167"/>
      <c r="J228" s="166"/>
      <c r="K228" s="166"/>
      <c r="L228" s="166"/>
      <c r="M228" s="166"/>
      <c r="N228" s="166"/>
      <c r="O228" s="166"/>
      <c r="P228" s="167"/>
      <c r="Q228" s="166"/>
      <c r="R228" s="166"/>
      <c r="S228" s="166"/>
      <c r="T228" s="166"/>
      <c r="U228" s="166"/>
      <c r="V228" s="168"/>
      <c r="W228" s="166"/>
      <c r="X228" s="167"/>
      <c r="Y228" s="166"/>
      <c r="Z228" s="166"/>
      <c r="AA228" s="166"/>
      <c r="AB228" s="166"/>
      <c r="AC228" s="166"/>
      <c r="AD228" s="166"/>
      <c r="AE228" s="167"/>
      <c r="AF228" s="166"/>
      <c r="AG228" s="166"/>
      <c r="AH228" s="166"/>
      <c r="AI228" s="166"/>
      <c r="AJ228" s="166"/>
      <c r="AK228" s="166"/>
      <c r="AL228" s="167"/>
      <c r="AM228" s="166"/>
      <c r="AN228" s="166"/>
      <c r="AO228" s="166"/>
      <c r="AP228" s="166"/>
      <c r="AQ228" s="166"/>
      <c r="AR228" s="168"/>
      <c r="AS228" s="166"/>
      <c r="AT228" s="167"/>
      <c r="AU228" s="166"/>
      <c r="AV228" s="166"/>
      <c r="AW228" s="166"/>
      <c r="AX228" s="166"/>
      <c r="AY228" s="166"/>
      <c r="AZ228" s="166"/>
      <c r="BA228" s="167"/>
      <c r="BB228" s="166"/>
      <c r="BC228" s="166"/>
      <c r="BD228" s="166"/>
      <c r="BE228" s="166"/>
      <c r="BF228" s="166"/>
      <c r="BG228" s="166"/>
      <c r="BH228" s="167"/>
      <c r="BI228" s="166"/>
      <c r="BJ228" s="166"/>
      <c r="BK228" s="166"/>
      <c r="BL228" s="166"/>
      <c r="BM228" s="166"/>
    </row>
    <row r="229" spans="1:65" s="170" customFormat="1">
      <c r="A229" s="169"/>
      <c r="B229" s="169" t="s">
        <v>2039</v>
      </c>
      <c r="I229" s="169" t="s">
        <v>2040</v>
      </c>
      <c r="P229" s="169"/>
      <c r="V229" s="171"/>
      <c r="X229" s="169"/>
      <c r="AE229" s="169"/>
      <c r="AL229" s="169"/>
      <c r="AR229" s="171"/>
      <c r="AT229" s="169"/>
      <c r="BA229" s="169"/>
      <c r="BH229" s="169"/>
    </row>
    <row r="230" spans="1:65">
      <c r="C230" s="160" t="s">
        <v>243</v>
      </c>
      <c r="D230" s="160" t="s">
        <v>23</v>
      </c>
      <c r="E230" s="160" t="s">
        <v>24</v>
      </c>
      <c r="F230" s="160" t="s">
        <v>244</v>
      </c>
      <c r="G230" s="160" t="s">
        <v>26</v>
      </c>
      <c r="J230" s="160" t="s">
        <v>243</v>
      </c>
      <c r="K230" s="160" t="s">
        <v>23</v>
      </c>
      <c r="L230" s="160" t="s">
        <v>24</v>
      </c>
      <c r="M230" s="160" t="s">
        <v>244</v>
      </c>
      <c r="N230" s="160" t="s">
        <v>26</v>
      </c>
      <c r="V230" s="172"/>
      <c r="AR230" s="172"/>
    </row>
    <row r="231" spans="1:65">
      <c r="B231" s="161" t="s">
        <v>26</v>
      </c>
      <c r="C231" s="160" t="s">
        <v>2041</v>
      </c>
      <c r="D231" s="160" t="s">
        <v>2042</v>
      </c>
      <c r="E231" s="160" t="s">
        <v>2043</v>
      </c>
      <c r="F231" s="160" t="s">
        <v>1872</v>
      </c>
      <c r="G231" s="160" t="s">
        <v>2044</v>
      </c>
      <c r="I231" s="161" t="s">
        <v>26</v>
      </c>
      <c r="J231" s="160" t="s">
        <v>2045</v>
      </c>
      <c r="K231" s="160" t="s">
        <v>2046</v>
      </c>
      <c r="L231" s="160" t="s">
        <v>2047</v>
      </c>
      <c r="M231" s="160" t="s">
        <v>1872</v>
      </c>
      <c r="N231" s="160" t="s">
        <v>2048</v>
      </c>
      <c r="V231" s="172"/>
      <c r="AR231" s="172"/>
    </row>
    <row r="232" spans="1:65">
      <c r="B232" s="161" t="s">
        <v>281</v>
      </c>
      <c r="C232" s="160" t="s">
        <v>2049</v>
      </c>
      <c r="D232" s="160" t="s">
        <v>2050</v>
      </c>
      <c r="E232" s="160" t="s">
        <v>2051</v>
      </c>
      <c r="F232" s="160" t="s">
        <v>1872</v>
      </c>
      <c r="G232" s="160" t="s">
        <v>2052</v>
      </c>
      <c r="I232" s="161" t="s">
        <v>281</v>
      </c>
      <c r="J232" s="160" t="s">
        <v>2053</v>
      </c>
      <c r="K232" s="160" t="s">
        <v>2054</v>
      </c>
      <c r="L232" s="160" t="s">
        <v>2055</v>
      </c>
      <c r="M232" s="160" t="s">
        <v>1872</v>
      </c>
      <c r="N232" s="160" t="s">
        <v>2056</v>
      </c>
      <c r="V232" s="172"/>
      <c r="AR232" s="172"/>
    </row>
    <row r="233" spans="1:65">
      <c r="B233" s="161" t="s">
        <v>317</v>
      </c>
      <c r="C233" s="160" t="s">
        <v>2057</v>
      </c>
      <c r="D233" s="160" t="s">
        <v>2058</v>
      </c>
      <c r="E233" s="160" t="s">
        <v>2059</v>
      </c>
      <c r="F233" s="160" t="s">
        <v>1872</v>
      </c>
      <c r="G233" s="160" t="s">
        <v>2060</v>
      </c>
      <c r="I233" s="161" t="s">
        <v>317</v>
      </c>
      <c r="J233" s="160" t="s">
        <v>2061</v>
      </c>
      <c r="K233" s="160" t="s">
        <v>1696</v>
      </c>
      <c r="L233" s="160" t="s">
        <v>2062</v>
      </c>
      <c r="M233" s="160" t="s">
        <v>1872</v>
      </c>
      <c r="N233" s="160" t="s">
        <v>2063</v>
      </c>
      <c r="V233" s="172"/>
      <c r="AR233" s="172"/>
    </row>
    <row r="234" spans="1:65">
      <c r="B234" s="161" t="s">
        <v>349</v>
      </c>
      <c r="C234" s="160" t="s">
        <v>2064</v>
      </c>
      <c r="D234" s="160" t="s">
        <v>2065</v>
      </c>
      <c r="E234" s="160" t="s">
        <v>1010</v>
      </c>
      <c r="F234" s="160" t="s">
        <v>1872</v>
      </c>
      <c r="G234" s="160" t="s">
        <v>2066</v>
      </c>
      <c r="I234" s="161" t="s">
        <v>349</v>
      </c>
      <c r="J234" s="160" t="s">
        <v>2067</v>
      </c>
      <c r="K234" s="160" t="s">
        <v>356</v>
      </c>
      <c r="L234" s="160" t="s">
        <v>1636</v>
      </c>
      <c r="M234" s="160" t="s">
        <v>1872</v>
      </c>
      <c r="N234" s="160" t="s">
        <v>2068</v>
      </c>
      <c r="V234" s="172"/>
      <c r="AR234" s="172"/>
    </row>
    <row r="235" spans="1:65">
      <c r="V235" s="172"/>
      <c r="AR235" s="172"/>
    </row>
    <row r="236" spans="1:65" ht="12" customHeight="1">
      <c r="A236" s="165" t="s">
        <v>2069</v>
      </c>
      <c r="B236" s="165"/>
      <c r="C236" s="166"/>
      <c r="D236" s="166"/>
      <c r="E236" s="166"/>
      <c r="F236" s="166"/>
      <c r="G236" s="166"/>
      <c r="H236" s="166"/>
      <c r="I236" s="167"/>
      <c r="J236" s="166"/>
      <c r="K236" s="166"/>
      <c r="L236" s="166"/>
      <c r="M236" s="166"/>
      <c r="N236" s="166"/>
      <c r="O236" s="166"/>
      <c r="P236" s="167"/>
      <c r="Q236" s="166"/>
      <c r="R236" s="166"/>
      <c r="S236" s="166"/>
      <c r="T236" s="166"/>
      <c r="U236" s="166"/>
      <c r="V236" s="168"/>
      <c r="W236" s="166"/>
      <c r="X236" s="167"/>
      <c r="Y236" s="166"/>
      <c r="Z236" s="166"/>
      <c r="AA236" s="166"/>
      <c r="AB236" s="166"/>
      <c r="AC236" s="166"/>
      <c r="AD236" s="166"/>
      <c r="AE236" s="167"/>
      <c r="AF236" s="166"/>
      <c r="AG236" s="166"/>
      <c r="AH236" s="166"/>
      <c r="AI236" s="166"/>
      <c r="AJ236" s="166"/>
      <c r="AK236" s="166"/>
      <c r="AL236" s="167"/>
      <c r="AM236" s="166"/>
      <c r="AN236" s="166"/>
      <c r="AO236" s="166"/>
      <c r="AP236" s="166"/>
      <c r="AQ236" s="166"/>
      <c r="AR236" s="168"/>
      <c r="AS236" s="166"/>
      <c r="AT236" s="167"/>
      <c r="AU236" s="166"/>
      <c r="AV236" s="166"/>
      <c r="AW236" s="166"/>
      <c r="AX236" s="166"/>
      <c r="AY236" s="166"/>
      <c r="AZ236" s="166"/>
      <c r="BA236" s="167"/>
      <c r="BB236" s="166"/>
      <c r="BC236" s="166"/>
      <c r="BD236" s="166"/>
      <c r="BE236" s="166"/>
      <c r="BF236" s="166"/>
      <c r="BG236" s="166"/>
      <c r="BH236" s="167"/>
      <c r="BI236" s="166"/>
      <c r="BJ236" s="166"/>
      <c r="BK236" s="166"/>
      <c r="BL236" s="166"/>
      <c r="BM236" s="166"/>
    </row>
    <row r="237" spans="1:65" s="170" customFormat="1">
      <c r="A237" s="169"/>
      <c r="B237" s="169" t="s">
        <v>2070</v>
      </c>
      <c r="I237" s="169" t="s">
        <v>2071</v>
      </c>
      <c r="P237" s="169"/>
      <c r="V237" s="171"/>
      <c r="X237" s="169"/>
      <c r="AE237" s="169"/>
      <c r="AL237" s="169"/>
      <c r="AR237" s="171"/>
      <c r="AT237" s="169"/>
      <c r="BA237" s="169"/>
      <c r="BH237" s="169"/>
    </row>
    <row r="238" spans="1:65">
      <c r="C238" s="160" t="s">
        <v>243</v>
      </c>
      <c r="D238" s="160" t="s">
        <v>23</v>
      </c>
      <c r="E238" s="160" t="s">
        <v>24</v>
      </c>
      <c r="F238" s="160" t="s">
        <v>244</v>
      </c>
      <c r="G238" s="160" t="s">
        <v>26</v>
      </c>
      <c r="J238" s="160" t="s">
        <v>243</v>
      </c>
      <c r="K238" s="160" t="s">
        <v>23</v>
      </c>
      <c r="L238" s="160" t="s">
        <v>24</v>
      </c>
      <c r="M238" s="160" t="s">
        <v>244</v>
      </c>
      <c r="N238" s="160" t="s">
        <v>26</v>
      </c>
      <c r="V238" s="172"/>
      <c r="AR238" s="172"/>
    </row>
    <row r="239" spans="1:65">
      <c r="B239" s="161" t="s">
        <v>26</v>
      </c>
      <c r="C239" s="160" t="s">
        <v>2072</v>
      </c>
      <c r="D239" s="160" t="s">
        <v>2073</v>
      </c>
      <c r="E239" s="160" t="s">
        <v>2074</v>
      </c>
      <c r="F239" s="160" t="s">
        <v>1872</v>
      </c>
      <c r="G239" s="160" t="s">
        <v>2075</v>
      </c>
      <c r="I239" s="161" t="s">
        <v>26</v>
      </c>
      <c r="J239" s="160" t="s">
        <v>2076</v>
      </c>
      <c r="K239" s="160" t="s">
        <v>2077</v>
      </c>
      <c r="L239" s="160" t="s">
        <v>2078</v>
      </c>
      <c r="M239" s="160" t="s">
        <v>1872</v>
      </c>
      <c r="N239" s="160" t="s">
        <v>2079</v>
      </c>
      <c r="V239" s="172"/>
      <c r="AR239" s="172"/>
    </row>
    <row r="240" spans="1:65">
      <c r="B240" s="161" t="s">
        <v>281</v>
      </c>
      <c r="C240" s="160" t="s">
        <v>2080</v>
      </c>
      <c r="D240" s="160" t="s">
        <v>2081</v>
      </c>
      <c r="E240" s="160" t="s">
        <v>2082</v>
      </c>
      <c r="F240" s="160" t="s">
        <v>1872</v>
      </c>
      <c r="G240" s="160" t="s">
        <v>2083</v>
      </c>
      <c r="I240" s="161" t="s">
        <v>281</v>
      </c>
      <c r="J240" s="160" t="s">
        <v>2084</v>
      </c>
      <c r="K240" s="160" t="s">
        <v>2085</v>
      </c>
      <c r="L240" s="160" t="s">
        <v>2086</v>
      </c>
      <c r="M240" s="160" t="s">
        <v>1872</v>
      </c>
      <c r="N240" s="160" t="s">
        <v>2087</v>
      </c>
      <c r="V240" s="172"/>
      <c r="AR240" s="172"/>
    </row>
    <row r="241" spans="1:65">
      <c r="B241" s="161" t="s">
        <v>317</v>
      </c>
      <c r="C241" s="160" t="s">
        <v>2088</v>
      </c>
      <c r="D241" s="160" t="s">
        <v>2089</v>
      </c>
      <c r="E241" s="160" t="s">
        <v>2090</v>
      </c>
      <c r="F241" s="160" t="s">
        <v>1872</v>
      </c>
      <c r="G241" s="160" t="s">
        <v>2091</v>
      </c>
      <c r="I241" s="161" t="s">
        <v>317</v>
      </c>
      <c r="J241" s="160" t="s">
        <v>2092</v>
      </c>
      <c r="K241" s="160" t="s">
        <v>2093</v>
      </c>
      <c r="L241" s="160" t="s">
        <v>2094</v>
      </c>
      <c r="M241" s="160" t="s">
        <v>1872</v>
      </c>
      <c r="N241" s="160" t="s">
        <v>2095</v>
      </c>
      <c r="V241" s="172"/>
      <c r="AR241" s="172"/>
    </row>
    <row r="242" spans="1:65">
      <c r="B242" s="161" t="s">
        <v>349</v>
      </c>
      <c r="C242" s="160" t="s">
        <v>2096</v>
      </c>
      <c r="D242" s="160" t="s">
        <v>2097</v>
      </c>
      <c r="E242" s="160" t="s">
        <v>2098</v>
      </c>
      <c r="F242" s="160" t="s">
        <v>1872</v>
      </c>
      <c r="G242" s="160" t="s">
        <v>2099</v>
      </c>
      <c r="I242" s="161" t="s">
        <v>349</v>
      </c>
      <c r="J242" s="160" t="s">
        <v>2100</v>
      </c>
      <c r="K242" s="160" t="s">
        <v>351</v>
      </c>
      <c r="L242" s="160" t="s">
        <v>1636</v>
      </c>
      <c r="M242" s="160" t="s">
        <v>1872</v>
      </c>
      <c r="N242" s="160" t="s">
        <v>2101</v>
      </c>
      <c r="V242" s="172"/>
      <c r="AR242" s="172"/>
    </row>
    <row r="243" spans="1:65">
      <c r="V243" s="172"/>
      <c r="AR243" s="172"/>
    </row>
    <row r="244" spans="1:65" ht="12" customHeight="1">
      <c r="A244" s="165" t="s">
        <v>2102</v>
      </c>
      <c r="B244" s="165"/>
      <c r="C244" s="166"/>
      <c r="D244" s="166"/>
      <c r="E244" s="166"/>
      <c r="F244" s="166"/>
      <c r="G244" s="166"/>
      <c r="H244" s="166"/>
      <c r="I244" s="167"/>
      <c r="J244" s="166"/>
      <c r="K244" s="166"/>
      <c r="L244" s="166"/>
      <c r="M244" s="166"/>
      <c r="N244" s="166"/>
      <c r="O244" s="166"/>
      <c r="P244" s="167"/>
      <c r="Q244" s="166"/>
      <c r="R244" s="166"/>
      <c r="S244" s="166"/>
      <c r="T244" s="166"/>
      <c r="U244" s="166"/>
      <c r="V244" s="168"/>
      <c r="W244" s="166"/>
      <c r="X244" s="167"/>
      <c r="Y244" s="166"/>
      <c r="Z244" s="166"/>
      <c r="AA244" s="166"/>
      <c r="AB244" s="166"/>
      <c r="AC244" s="166"/>
      <c r="AD244" s="166"/>
      <c r="AE244" s="167"/>
      <c r="AF244" s="166"/>
      <c r="AG244" s="166"/>
      <c r="AH244" s="166"/>
      <c r="AI244" s="166"/>
      <c r="AJ244" s="166"/>
      <c r="AK244" s="166"/>
      <c r="AL244" s="167"/>
      <c r="AM244" s="166"/>
      <c r="AN244" s="166"/>
      <c r="AO244" s="166"/>
      <c r="AP244" s="166"/>
      <c r="AQ244" s="166"/>
      <c r="AR244" s="168"/>
      <c r="AS244" s="166"/>
      <c r="AT244" s="167"/>
      <c r="AU244" s="166"/>
      <c r="AV244" s="166"/>
      <c r="AW244" s="166"/>
      <c r="AX244" s="166"/>
      <c r="AY244" s="166"/>
      <c r="AZ244" s="166"/>
      <c r="BA244" s="167"/>
      <c r="BB244" s="166"/>
      <c r="BC244" s="166"/>
      <c r="BD244" s="166"/>
      <c r="BE244" s="166"/>
      <c r="BF244" s="166"/>
      <c r="BG244" s="166"/>
      <c r="BH244" s="167"/>
      <c r="BI244" s="166"/>
      <c r="BJ244" s="166"/>
      <c r="BK244" s="166"/>
      <c r="BL244" s="166"/>
      <c r="BM244" s="166"/>
    </row>
    <row r="245" spans="1:65" s="170" customFormat="1">
      <c r="A245" s="169"/>
      <c r="B245" s="169" t="s">
        <v>2103</v>
      </c>
      <c r="I245" s="169" t="s">
        <v>2104</v>
      </c>
      <c r="P245" s="169"/>
      <c r="V245" s="171"/>
      <c r="X245" s="169"/>
      <c r="AE245" s="169"/>
      <c r="AL245" s="169"/>
      <c r="AR245" s="171"/>
      <c r="AT245" s="169"/>
      <c r="BA245" s="169"/>
      <c r="BH245" s="169"/>
    </row>
    <row r="246" spans="1:65">
      <c r="C246" s="160" t="s">
        <v>243</v>
      </c>
      <c r="D246" s="160" t="s">
        <v>23</v>
      </c>
      <c r="E246" s="160" t="s">
        <v>24</v>
      </c>
      <c r="F246" s="160" t="s">
        <v>244</v>
      </c>
      <c r="G246" s="160" t="s">
        <v>26</v>
      </c>
      <c r="J246" s="160" t="s">
        <v>243</v>
      </c>
      <c r="K246" s="160" t="s">
        <v>23</v>
      </c>
      <c r="L246" s="160" t="s">
        <v>24</v>
      </c>
      <c r="M246" s="160" t="s">
        <v>244</v>
      </c>
      <c r="N246" s="160" t="s">
        <v>26</v>
      </c>
      <c r="V246" s="172"/>
      <c r="AR246" s="172"/>
    </row>
    <row r="247" spans="1:65">
      <c r="B247" s="161" t="s">
        <v>26</v>
      </c>
      <c r="C247" s="160" t="s">
        <v>2105</v>
      </c>
      <c r="D247" s="160" t="s">
        <v>2106</v>
      </c>
      <c r="E247" s="160" t="s">
        <v>2107</v>
      </c>
      <c r="F247" s="160" t="s">
        <v>1872</v>
      </c>
      <c r="G247" s="160" t="s">
        <v>2108</v>
      </c>
      <c r="I247" s="161" t="s">
        <v>26</v>
      </c>
      <c r="J247" s="160" t="s">
        <v>2109</v>
      </c>
      <c r="K247" s="160" t="s">
        <v>2110</v>
      </c>
      <c r="L247" s="160" t="s">
        <v>2111</v>
      </c>
      <c r="M247" s="160" t="s">
        <v>1872</v>
      </c>
      <c r="N247" s="160" t="s">
        <v>2112</v>
      </c>
      <c r="V247" s="172"/>
      <c r="AR247" s="172"/>
    </row>
    <row r="248" spans="1:65">
      <c r="B248" s="161" t="s">
        <v>281</v>
      </c>
      <c r="C248" s="160" t="s">
        <v>2113</v>
      </c>
      <c r="D248" s="160" t="s">
        <v>2114</v>
      </c>
      <c r="E248" s="160" t="s">
        <v>2115</v>
      </c>
      <c r="F248" s="160" t="s">
        <v>1872</v>
      </c>
      <c r="G248" s="160" t="s">
        <v>2116</v>
      </c>
      <c r="I248" s="161" t="s">
        <v>281</v>
      </c>
      <c r="J248" s="160" t="s">
        <v>2117</v>
      </c>
      <c r="K248" s="160" t="s">
        <v>2118</v>
      </c>
      <c r="L248" s="160" t="s">
        <v>2119</v>
      </c>
      <c r="M248" s="160" t="s">
        <v>1872</v>
      </c>
      <c r="N248" s="160" t="s">
        <v>2120</v>
      </c>
      <c r="V248" s="172"/>
      <c r="AR248" s="172"/>
    </row>
    <row r="249" spans="1:65">
      <c r="B249" s="161" t="s">
        <v>317</v>
      </c>
      <c r="C249" s="160" t="s">
        <v>2121</v>
      </c>
      <c r="D249" s="160" t="s">
        <v>2122</v>
      </c>
      <c r="E249" s="160" t="s">
        <v>2123</v>
      </c>
      <c r="F249" s="160" t="s">
        <v>1872</v>
      </c>
      <c r="G249" s="160" t="s">
        <v>2124</v>
      </c>
      <c r="I249" s="161" t="s">
        <v>317</v>
      </c>
      <c r="J249" s="160" t="s">
        <v>1368</v>
      </c>
      <c r="K249" s="160" t="s">
        <v>2125</v>
      </c>
      <c r="L249" s="160" t="s">
        <v>2126</v>
      </c>
      <c r="M249" s="160" t="s">
        <v>1872</v>
      </c>
      <c r="N249" s="160" t="s">
        <v>2127</v>
      </c>
      <c r="V249" s="172"/>
      <c r="AR249" s="172"/>
    </row>
    <row r="250" spans="1:65">
      <c r="B250" s="161" t="s">
        <v>349</v>
      </c>
      <c r="C250" s="160" t="s">
        <v>2128</v>
      </c>
      <c r="D250" s="160" t="s">
        <v>2129</v>
      </c>
      <c r="E250" s="160" t="s">
        <v>1893</v>
      </c>
      <c r="F250" s="160" t="s">
        <v>1872</v>
      </c>
      <c r="G250" s="160" t="s">
        <v>2130</v>
      </c>
      <c r="I250" s="161" t="s">
        <v>349</v>
      </c>
      <c r="J250" s="160" t="s">
        <v>1285</v>
      </c>
      <c r="K250" s="160" t="s">
        <v>351</v>
      </c>
      <c r="L250" s="160" t="s">
        <v>1636</v>
      </c>
      <c r="M250" s="160" t="s">
        <v>1872</v>
      </c>
      <c r="N250" s="160" t="s">
        <v>2131</v>
      </c>
      <c r="V250" s="172"/>
      <c r="AR250" s="172"/>
    </row>
    <row r="251" spans="1:65">
      <c r="V251" s="172"/>
      <c r="AR251" s="172"/>
    </row>
    <row r="252" spans="1:65" ht="12" customHeight="1">
      <c r="A252" s="165" t="s">
        <v>2132</v>
      </c>
      <c r="B252" s="165"/>
      <c r="C252" s="166"/>
      <c r="D252" s="166"/>
      <c r="E252" s="166"/>
      <c r="F252" s="166"/>
      <c r="G252" s="166"/>
      <c r="H252" s="166"/>
      <c r="I252" s="167"/>
      <c r="J252" s="166"/>
      <c r="K252" s="166"/>
      <c r="L252" s="166"/>
      <c r="M252" s="166"/>
      <c r="N252" s="166"/>
      <c r="O252" s="166"/>
      <c r="P252" s="167"/>
      <c r="Q252" s="166"/>
      <c r="R252" s="166"/>
      <c r="S252" s="166"/>
      <c r="T252" s="166"/>
      <c r="U252" s="166"/>
      <c r="V252" s="168"/>
      <c r="W252" s="166"/>
      <c r="X252" s="167"/>
      <c r="Y252" s="166"/>
      <c r="Z252" s="166"/>
      <c r="AA252" s="166"/>
      <c r="AB252" s="166"/>
      <c r="AC252" s="166"/>
      <c r="AD252" s="166"/>
      <c r="AE252" s="167"/>
      <c r="AF252" s="166"/>
      <c r="AG252" s="166"/>
      <c r="AH252" s="166"/>
      <c r="AI252" s="166"/>
      <c r="AJ252" s="166"/>
      <c r="AK252" s="166"/>
      <c r="AL252" s="167"/>
      <c r="AM252" s="166"/>
      <c r="AN252" s="166"/>
      <c r="AO252" s="166"/>
      <c r="AP252" s="166"/>
      <c r="AQ252" s="166"/>
      <c r="AR252" s="168"/>
      <c r="AS252" s="166"/>
      <c r="AT252" s="167"/>
      <c r="AU252" s="166"/>
      <c r="AV252" s="166"/>
      <c r="AW252" s="166"/>
      <c r="AX252" s="166"/>
      <c r="AY252" s="166"/>
      <c r="AZ252" s="166"/>
      <c r="BA252" s="167"/>
      <c r="BB252" s="166"/>
      <c r="BC252" s="166"/>
      <c r="BD252" s="166"/>
      <c r="BE252" s="166"/>
      <c r="BF252" s="166"/>
      <c r="BG252" s="166"/>
      <c r="BH252" s="167"/>
      <c r="BI252" s="166"/>
      <c r="BJ252" s="166"/>
      <c r="BK252" s="166"/>
      <c r="BL252" s="166"/>
      <c r="BM252" s="166"/>
    </row>
    <row r="253" spans="1:65" s="170" customFormat="1">
      <c r="A253" s="169"/>
      <c r="B253" s="169" t="s">
        <v>2133</v>
      </c>
      <c r="I253" s="169" t="s">
        <v>2134</v>
      </c>
      <c r="P253" s="169"/>
      <c r="V253" s="171"/>
      <c r="X253" s="169"/>
      <c r="AE253" s="169"/>
      <c r="AL253" s="169"/>
      <c r="AR253" s="171"/>
      <c r="AT253" s="169"/>
      <c r="BA253" s="169"/>
      <c r="BH253" s="169"/>
    </row>
    <row r="254" spans="1:65">
      <c r="C254" s="160" t="s">
        <v>243</v>
      </c>
      <c r="D254" s="160" t="s">
        <v>23</v>
      </c>
      <c r="E254" s="160" t="s">
        <v>24</v>
      </c>
      <c r="F254" s="160" t="s">
        <v>244</v>
      </c>
      <c r="G254" s="160" t="s">
        <v>26</v>
      </c>
      <c r="J254" s="160" t="s">
        <v>243</v>
      </c>
      <c r="K254" s="160" t="s">
        <v>23</v>
      </c>
      <c r="L254" s="160" t="s">
        <v>24</v>
      </c>
      <c r="M254" s="160" t="s">
        <v>244</v>
      </c>
      <c r="N254" s="160" t="s">
        <v>26</v>
      </c>
      <c r="V254" s="172"/>
      <c r="AR254" s="172"/>
    </row>
    <row r="255" spans="1:65">
      <c r="B255" s="161" t="s">
        <v>26</v>
      </c>
      <c r="C255" s="160" t="s">
        <v>2135</v>
      </c>
      <c r="D255" s="160" t="s">
        <v>2136</v>
      </c>
      <c r="E255" s="160" t="s">
        <v>2137</v>
      </c>
      <c r="F255" s="160" t="s">
        <v>1872</v>
      </c>
      <c r="G255" s="160" t="s">
        <v>2138</v>
      </c>
      <c r="I255" s="161" t="s">
        <v>26</v>
      </c>
      <c r="J255" s="160" t="s">
        <v>2139</v>
      </c>
      <c r="K255" s="160" t="s">
        <v>2140</v>
      </c>
      <c r="L255" s="160" t="s">
        <v>2141</v>
      </c>
      <c r="M255" s="160" t="s">
        <v>1872</v>
      </c>
      <c r="N255" s="160" t="s">
        <v>2142</v>
      </c>
      <c r="V255" s="172"/>
      <c r="AR255" s="172"/>
    </row>
    <row r="256" spans="1:65">
      <c r="B256" s="161" t="s">
        <v>281</v>
      </c>
      <c r="C256" s="160" t="s">
        <v>2143</v>
      </c>
      <c r="D256" s="160" t="s">
        <v>2144</v>
      </c>
      <c r="E256" s="160" t="s">
        <v>2145</v>
      </c>
      <c r="F256" s="160" t="s">
        <v>1872</v>
      </c>
      <c r="G256" s="160" t="s">
        <v>2146</v>
      </c>
      <c r="I256" s="161" t="s">
        <v>281</v>
      </c>
      <c r="J256" s="160" t="s">
        <v>2147</v>
      </c>
      <c r="K256" s="160" t="s">
        <v>2148</v>
      </c>
      <c r="L256" s="160" t="s">
        <v>2149</v>
      </c>
      <c r="M256" s="160" t="s">
        <v>1872</v>
      </c>
      <c r="N256" s="160" t="s">
        <v>2150</v>
      </c>
      <c r="V256" s="172"/>
      <c r="AR256" s="172"/>
    </row>
    <row r="257" spans="2:44">
      <c r="B257" s="161" t="s">
        <v>317</v>
      </c>
      <c r="C257" s="160" t="s">
        <v>2151</v>
      </c>
      <c r="D257" s="160" t="s">
        <v>2152</v>
      </c>
      <c r="E257" s="160" t="s">
        <v>2153</v>
      </c>
      <c r="F257" s="160" t="s">
        <v>1872</v>
      </c>
      <c r="G257" s="160" t="s">
        <v>2154</v>
      </c>
      <c r="I257" s="161" t="s">
        <v>317</v>
      </c>
      <c r="J257" s="160" t="s">
        <v>2155</v>
      </c>
      <c r="K257" s="160" t="s">
        <v>2125</v>
      </c>
      <c r="L257" s="160" t="s">
        <v>2156</v>
      </c>
      <c r="M257" s="160" t="s">
        <v>1872</v>
      </c>
      <c r="N257" s="160" t="s">
        <v>2157</v>
      </c>
      <c r="V257" s="172"/>
      <c r="AR257" s="172"/>
    </row>
    <row r="258" spans="2:44">
      <c r="B258" s="161" t="s">
        <v>349</v>
      </c>
      <c r="C258" s="160" t="s">
        <v>2158</v>
      </c>
      <c r="D258" s="160" t="s">
        <v>2159</v>
      </c>
      <c r="E258" s="160" t="s">
        <v>2160</v>
      </c>
      <c r="F258" s="160" t="s">
        <v>1872</v>
      </c>
      <c r="G258" s="160" t="s">
        <v>2161</v>
      </c>
      <c r="I258" s="161" t="s">
        <v>349</v>
      </c>
      <c r="J258" s="160" t="s">
        <v>2162</v>
      </c>
      <c r="K258" s="160" t="s">
        <v>351</v>
      </c>
      <c r="L258" s="160" t="s">
        <v>1636</v>
      </c>
      <c r="M258" s="160" t="s">
        <v>1872</v>
      </c>
      <c r="N258" s="160" t="s">
        <v>2163</v>
      </c>
      <c r="V258" s="172"/>
      <c r="AR258" s="172"/>
    </row>
    <row r="259" spans="2:44">
      <c r="V259" s="172"/>
      <c r="AR259" s="172"/>
    </row>
    <row r="260" spans="2:44">
      <c r="V260" s="172"/>
      <c r="AR260" s="172"/>
    </row>
  </sheetData>
  <mergeCells count="9">
    <mergeCell ref="AT3:AY3"/>
    <mergeCell ref="BA3:BF3"/>
    <mergeCell ref="BH3:BM3"/>
    <mergeCell ref="A3:G3"/>
    <mergeCell ref="I3:N3"/>
    <mergeCell ref="P3:U3"/>
    <mergeCell ref="X3:AC3"/>
    <mergeCell ref="AE3:AJ3"/>
    <mergeCell ref="AL3:AQ3"/>
  </mergeCells>
  <pageMargins left="0.7" right="0.7" top="0.75" bottom="0.75" header="0.3" footer="0.3"/>
  <pageSetup orientation="portrait" horizontalDpi="1200" verticalDpi="1200"/>
</worksheet>
</file>

<file path=xl/worksheets/sheet2.xml><?xml version="1.0" encoding="utf-8"?>
<worksheet xmlns="http://schemas.openxmlformats.org/spreadsheetml/2006/main" xmlns:r="http://schemas.openxmlformats.org/officeDocument/2006/relationships">
  <dimension ref="B1:K11"/>
  <sheetViews>
    <sheetView topLeftCell="A4" zoomScale="115" zoomScaleNormal="115" zoomScalePageLayoutView="115" workbookViewId="0">
      <selection activeCell="J16" sqref="J16"/>
    </sheetView>
  </sheetViews>
  <sheetFormatPr defaultColWidth="8.85546875" defaultRowHeight="15"/>
  <cols>
    <col min="2" max="2" width="23" bestFit="1" customWidth="1"/>
    <col min="3" max="3" width="11.5703125" customWidth="1"/>
    <col min="4" max="4" width="11.42578125" customWidth="1"/>
    <col min="5" max="5" width="13.140625" customWidth="1"/>
    <col min="6" max="6" width="12.42578125" customWidth="1"/>
    <col min="7" max="7" width="13.42578125" customWidth="1"/>
    <col min="8" max="8" width="12.42578125" customWidth="1"/>
    <col min="9" max="9" width="12" customWidth="1"/>
    <col min="10" max="10" width="12.28515625" customWidth="1"/>
  </cols>
  <sheetData>
    <row r="1" spans="2:11" ht="15.75" thickBot="1">
      <c r="B1" t="s">
        <v>121</v>
      </c>
    </row>
    <row r="2" spans="2:11" ht="15.75" thickBot="1">
      <c r="B2" s="124"/>
      <c r="C2" s="122"/>
      <c r="D2" s="123"/>
      <c r="E2" s="534" t="s">
        <v>110</v>
      </c>
      <c r="F2" s="535"/>
      <c r="G2" s="536"/>
      <c r="H2" s="537" t="s">
        <v>119</v>
      </c>
      <c r="I2" s="538"/>
      <c r="J2" s="539"/>
    </row>
    <row r="3" spans="2:11" ht="75.75" thickBot="1">
      <c r="B3" s="125" t="s">
        <v>120</v>
      </c>
      <c r="C3" s="393" t="str">
        <f>'1-Table 1'!C4</f>
        <v>Share of Alternative Fuel Vehicles in 2009</v>
      </c>
      <c r="D3" s="394" t="str">
        <f>'1-Table 1'!D4</f>
        <v>Range without refueling, 2012 Model Years</v>
      </c>
      <c r="E3" s="148" t="s">
        <v>122</v>
      </c>
      <c r="F3" s="149"/>
      <c r="G3" s="150" t="s">
        <v>117</v>
      </c>
      <c r="H3" s="128" t="s">
        <v>2213</v>
      </c>
      <c r="I3" s="128" t="s">
        <v>2214</v>
      </c>
      <c r="J3" s="129" t="s">
        <v>2228</v>
      </c>
    </row>
    <row r="4" spans="2:11">
      <c r="B4" s="113" t="s">
        <v>112</v>
      </c>
      <c r="C4" s="395">
        <f>'1-Table 1'!C8</f>
        <v>0</v>
      </c>
      <c r="D4" s="397">
        <f>'1-Table 1'!D8</f>
        <v>190</v>
      </c>
      <c r="E4" s="391">
        <f>'1-Table 1'!E8</f>
        <v>27173.272376724704</v>
      </c>
      <c r="F4" s="151"/>
      <c r="G4" s="154">
        <f>'6-Fuel NPV'!F25</f>
        <v>9516.4351212012516</v>
      </c>
      <c r="H4" s="211">
        <f>'7-External Costs Summary'!F7</f>
        <v>1763.1355348343764</v>
      </c>
      <c r="I4" s="212">
        <f>'7-External Costs Summary'!J7</f>
        <v>1221.9433471013865</v>
      </c>
      <c r="J4" s="236">
        <v>0</v>
      </c>
      <c r="K4" s="217">
        <f>SUM(E4:G4)</f>
        <v>36689.707497925956</v>
      </c>
    </row>
    <row r="5" spans="2:11">
      <c r="B5" s="113" t="s">
        <v>115</v>
      </c>
      <c r="C5" s="389">
        <f>'1-Table 1'!C7</f>
        <v>0.24700232776567602</v>
      </c>
      <c r="D5" s="398">
        <f>'1-Table 1'!D7</f>
        <v>580.79999999999995</v>
      </c>
      <c r="E5" s="391">
        <f>'1-Table 1'!E7</f>
        <v>26065.748148913644</v>
      </c>
      <c r="F5" s="151"/>
      <c r="G5" s="154">
        <f>'6-Fuel NPV'!E25</f>
        <v>11077.296428303713</v>
      </c>
      <c r="H5" s="147">
        <f>'7-External Costs Summary'!F6</f>
        <v>1780.541847583102</v>
      </c>
      <c r="I5" s="207">
        <f>'7-External Costs Summary'!J6</f>
        <v>1098.003098523202</v>
      </c>
      <c r="J5" s="216">
        <f>'11-Oil Externalities'!E21</f>
        <v>298.02125325607699</v>
      </c>
      <c r="K5" s="217">
        <f t="shared" ref="K5:K9" si="0">SUM(E5:G5)</f>
        <v>37143.044577217355</v>
      </c>
    </row>
    <row r="6" spans="2:11">
      <c r="B6" s="113" t="s">
        <v>111</v>
      </c>
      <c r="C6" s="390" t="str">
        <f>'1-Table 1'!C5</f>
        <v>n.a.</v>
      </c>
      <c r="D6" s="400">
        <f>'1-Table 1'!D5</f>
        <v>393.91300000000001</v>
      </c>
      <c r="E6" s="391">
        <f>'1-Table 1'!E5</f>
        <v>21820.563015599178</v>
      </c>
      <c r="F6" s="151"/>
      <c r="G6" s="154">
        <f>'6-Fuel NPV'!C25</f>
        <v>15508.214999625197</v>
      </c>
      <c r="H6" s="147">
        <f>'7-External Costs Summary'!F4</f>
        <v>1904.1805762716026</v>
      </c>
      <c r="I6" s="207">
        <f>'7-External Costs Summary'!J4</f>
        <v>1469.8239467554667</v>
      </c>
      <c r="J6" s="216">
        <f>'11-Oil Externalities'!C21</f>
        <v>417.22975455850781</v>
      </c>
      <c r="K6" s="217">
        <f t="shared" si="0"/>
        <v>37328.778015224379</v>
      </c>
    </row>
    <row r="7" spans="2:11">
      <c r="B7" s="113" t="s">
        <v>89</v>
      </c>
      <c r="C7" s="389">
        <f>'1-Table 1'!C6</f>
        <v>0.75030574979876796</v>
      </c>
      <c r="D7" s="400">
        <f>'1-Table 1'!D6</f>
        <v>286.08699999999999</v>
      </c>
      <c r="E7" s="391">
        <f>'1-Table 1'!E6</f>
        <v>24586.453925475318</v>
      </c>
      <c r="F7" s="151"/>
      <c r="G7" s="154">
        <f>'6-Fuel NPV'!D25</f>
        <v>20432.188308111534</v>
      </c>
      <c r="H7" s="147">
        <f>'7-External Costs Summary'!F5</f>
        <v>2127.2731887932864</v>
      </c>
      <c r="I7" s="207">
        <f>'7-External Costs Summary'!J5</f>
        <v>913.53992848264693</v>
      </c>
      <c r="J7" s="216">
        <f>'11-Oil Externalities'!D21</f>
        <v>62.584463183776172</v>
      </c>
      <c r="K7" s="217">
        <f t="shared" si="0"/>
        <v>45018.642233586856</v>
      </c>
    </row>
    <row r="8" spans="2:11">
      <c r="B8" s="113" t="s">
        <v>116</v>
      </c>
      <c r="C8" s="389">
        <f>'1-Table 1'!C10</f>
        <v>2.1054881734180698E-3</v>
      </c>
      <c r="D8" s="398">
        <f>'1-Table 1'!D10</f>
        <v>74.75</v>
      </c>
      <c r="E8" s="391">
        <f>'1-Table 1'!E10</f>
        <v>41585.685636526148</v>
      </c>
      <c r="F8" s="151"/>
      <c r="G8" s="422">
        <f>'6-Fuel NPV'!G25</f>
        <v>4616.61699330587</v>
      </c>
      <c r="H8" s="147">
        <f>'7-External Costs Summary'!F9</f>
        <v>3041.5371328344149</v>
      </c>
      <c r="I8" s="207">
        <f>'7-External Costs Summary'!J9</f>
        <v>1219.2376662749648</v>
      </c>
      <c r="J8" s="213">
        <v>0</v>
      </c>
      <c r="K8" s="217">
        <f t="shared" si="0"/>
        <v>46202.302629832018</v>
      </c>
    </row>
    <row r="9" spans="2:11" ht="15.75" thickBot="1">
      <c r="B9" s="119" t="s">
        <v>114</v>
      </c>
      <c r="C9" s="396">
        <f>'1-Table 1'!C9</f>
        <v>1.7025510836264718E-5</v>
      </c>
      <c r="D9" s="399">
        <f>'1-Table 1'!D9</f>
        <v>215</v>
      </c>
      <c r="E9" s="392">
        <f>'1-Table 1'!E9</f>
        <v>48660.994192050261</v>
      </c>
      <c r="F9" s="152"/>
      <c r="G9" s="421">
        <f>'6-Fuel NPV'!H25</f>
        <v>6785.1441931769477</v>
      </c>
      <c r="H9" s="214">
        <f>'7-External Costs Summary'!F8</f>
        <v>1784.2979738676013</v>
      </c>
      <c r="I9" s="215">
        <f>'7-External Costs Summary'!J8</f>
        <v>1004.1356516685703</v>
      </c>
      <c r="J9" s="133">
        <v>0</v>
      </c>
      <c r="K9" s="217">
        <f t="shared" si="0"/>
        <v>55446.138385227212</v>
      </c>
    </row>
    <row r="11" spans="2:11">
      <c r="B11" t="s">
        <v>2257</v>
      </c>
      <c r="H11" s="109"/>
      <c r="I11" s="109"/>
    </row>
  </sheetData>
  <autoFilter ref="B3:K3">
    <sortState ref="B4:K9">
      <sortCondition ref="K3"/>
    </sortState>
  </autoFilter>
  <mergeCells count="2">
    <mergeCell ref="E2:G2"/>
    <mergeCell ref="H2:J2"/>
  </mergeCells>
  <pageMargins left="0.7" right="0.7" top="0.75" bottom="0.75" header="0.3" footer="0.3"/>
  <pageSetup orientation="portrait" horizontalDpi="4294967292" verticalDpi="4294967292" r:id="rId1"/>
  <drawing r:id="rId2"/>
</worksheet>
</file>

<file path=xl/worksheets/sheet20.xml><?xml version="1.0" encoding="utf-8"?>
<worksheet xmlns="http://schemas.openxmlformats.org/spreadsheetml/2006/main" xmlns:r="http://schemas.openxmlformats.org/officeDocument/2006/relationships">
  <dimension ref="A1:BH165"/>
  <sheetViews>
    <sheetView topLeftCell="I1" workbookViewId="0">
      <pane ySplit="5" topLeftCell="A49" activePane="bottomLeft" state="frozenSplit"/>
      <selection activeCell="C9" sqref="C9"/>
      <selection pane="bottomLeft" activeCell="P74" sqref="P74"/>
    </sheetView>
  </sheetViews>
  <sheetFormatPr defaultColWidth="8.85546875" defaultRowHeight="12.75"/>
  <cols>
    <col min="1" max="1" width="4.7109375" style="185" customWidth="1"/>
    <col min="2" max="2" width="23.85546875" style="189" customWidth="1"/>
    <col min="3" max="18" width="12.7109375" style="184" customWidth="1"/>
    <col min="19" max="20" width="4.7109375" style="184" customWidth="1"/>
    <col min="21" max="37" width="12.7109375" style="184" customWidth="1"/>
    <col min="38" max="38" width="4.7109375" style="184" customWidth="1"/>
    <col min="39" max="39" width="4.7109375" style="187" customWidth="1"/>
    <col min="40" max="56" width="12.7109375" style="184" customWidth="1"/>
    <col min="57" max="256" width="8.85546875" style="184"/>
    <col min="257" max="257" width="4.7109375" style="184" customWidth="1"/>
    <col min="258" max="274" width="12.7109375" style="184" customWidth="1"/>
    <col min="275" max="276" width="4.7109375" style="184" customWidth="1"/>
    <col min="277" max="293" width="12.7109375" style="184" customWidth="1"/>
    <col min="294" max="295" width="4.7109375" style="184" customWidth="1"/>
    <col min="296" max="312" width="12.7109375" style="184" customWidth="1"/>
    <col min="313" max="512" width="8.85546875" style="184"/>
    <col min="513" max="513" width="4.7109375" style="184" customWidth="1"/>
    <col min="514" max="530" width="12.7109375" style="184" customWidth="1"/>
    <col min="531" max="532" width="4.7109375" style="184" customWidth="1"/>
    <col min="533" max="549" width="12.7109375" style="184" customWidth="1"/>
    <col min="550" max="551" width="4.7109375" style="184" customWidth="1"/>
    <col min="552" max="568" width="12.7109375" style="184" customWidth="1"/>
    <col min="569" max="768" width="8.85546875" style="184"/>
    <col min="769" max="769" width="4.7109375" style="184" customWidth="1"/>
    <col min="770" max="786" width="12.7109375" style="184" customWidth="1"/>
    <col min="787" max="788" width="4.7109375" style="184" customWidth="1"/>
    <col min="789" max="805" width="12.7109375" style="184" customWidth="1"/>
    <col min="806" max="807" width="4.7109375" style="184" customWidth="1"/>
    <col min="808" max="824" width="12.7109375" style="184" customWidth="1"/>
    <col min="825" max="1024" width="8.85546875" style="184"/>
    <col min="1025" max="1025" width="4.7109375" style="184" customWidth="1"/>
    <col min="1026" max="1042" width="12.7109375" style="184" customWidth="1"/>
    <col min="1043" max="1044" width="4.7109375" style="184" customWidth="1"/>
    <col min="1045" max="1061" width="12.7109375" style="184" customWidth="1"/>
    <col min="1062" max="1063" width="4.7109375" style="184" customWidth="1"/>
    <col min="1064" max="1080" width="12.7109375" style="184" customWidth="1"/>
    <col min="1081" max="1280" width="8.85546875" style="184"/>
    <col min="1281" max="1281" width="4.7109375" style="184" customWidth="1"/>
    <col min="1282" max="1298" width="12.7109375" style="184" customWidth="1"/>
    <col min="1299" max="1300" width="4.7109375" style="184" customWidth="1"/>
    <col min="1301" max="1317" width="12.7109375" style="184" customWidth="1"/>
    <col min="1318" max="1319" width="4.7109375" style="184" customWidth="1"/>
    <col min="1320" max="1336" width="12.7109375" style="184" customWidth="1"/>
    <col min="1337" max="1536" width="8.85546875" style="184"/>
    <col min="1537" max="1537" width="4.7109375" style="184" customWidth="1"/>
    <col min="1538" max="1554" width="12.7109375" style="184" customWidth="1"/>
    <col min="1555" max="1556" width="4.7109375" style="184" customWidth="1"/>
    <col min="1557" max="1573" width="12.7109375" style="184" customWidth="1"/>
    <col min="1574" max="1575" width="4.7109375" style="184" customWidth="1"/>
    <col min="1576" max="1592" width="12.7109375" style="184" customWidth="1"/>
    <col min="1593" max="1792" width="8.85546875" style="184"/>
    <col min="1793" max="1793" width="4.7109375" style="184" customWidth="1"/>
    <col min="1794" max="1810" width="12.7109375" style="184" customWidth="1"/>
    <col min="1811" max="1812" width="4.7109375" style="184" customWidth="1"/>
    <col min="1813" max="1829" width="12.7109375" style="184" customWidth="1"/>
    <col min="1830" max="1831" width="4.7109375" style="184" customWidth="1"/>
    <col min="1832" max="1848" width="12.7109375" style="184" customWidth="1"/>
    <col min="1849" max="2048" width="8.85546875" style="184"/>
    <col min="2049" max="2049" width="4.7109375" style="184" customWidth="1"/>
    <col min="2050" max="2066" width="12.7109375" style="184" customWidth="1"/>
    <col min="2067" max="2068" width="4.7109375" style="184" customWidth="1"/>
    <col min="2069" max="2085" width="12.7109375" style="184" customWidth="1"/>
    <col min="2086" max="2087" width="4.7109375" style="184" customWidth="1"/>
    <col min="2088" max="2104" width="12.7109375" style="184" customWidth="1"/>
    <col min="2105" max="2304" width="8.85546875" style="184"/>
    <col min="2305" max="2305" width="4.7109375" style="184" customWidth="1"/>
    <col min="2306" max="2322" width="12.7109375" style="184" customWidth="1"/>
    <col min="2323" max="2324" width="4.7109375" style="184" customWidth="1"/>
    <col min="2325" max="2341" width="12.7109375" style="184" customWidth="1"/>
    <col min="2342" max="2343" width="4.7109375" style="184" customWidth="1"/>
    <col min="2344" max="2360" width="12.7109375" style="184" customWidth="1"/>
    <col min="2361" max="2560" width="8.85546875" style="184"/>
    <col min="2561" max="2561" width="4.7109375" style="184" customWidth="1"/>
    <col min="2562" max="2578" width="12.7109375" style="184" customWidth="1"/>
    <col min="2579" max="2580" width="4.7109375" style="184" customWidth="1"/>
    <col min="2581" max="2597" width="12.7109375" style="184" customWidth="1"/>
    <col min="2598" max="2599" width="4.7109375" style="184" customWidth="1"/>
    <col min="2600" max="2616" width="12.7109375" style="184" customWidth="1"/>
    <col min="2617" max="2816" width="8.85546875" style="184"/>
    <col min="2817" max="2817" width="4.7109375" style="184" customWidth="1"/>
    <col min="2818" max="2834" width="12.7109375" style="184" customWidth="1"/>
    <col min="2835" max="2836" width="4.7109375" style="184" customWidth="1"/>
    <col min="2837" max="2853" width="12.7109375" style="184" customWidth="1"/>
    <col min="2854" max="2855" width="4.7109375" style="184" customWidth="1"/>
    <col min="2856" max="2872" width="12.7109375" style="184" customWidth="1"/>
    <col min="2873" max="3072" width="8.85546875" style="184"/>
    <col min="3073" max="3073" width="4.7109375" style="184" customWidth="1"/>
    <col min="3074" max="3090" width="12.7109375" style="184" customWidth="1"/>
    <col min="3091" max="3092" width="4.7109375" style="184" customWidth="1"/>
    <col min="3093" max="3109" width="12.7109375" style="184" customWidth="1"/>
    <col min="3110" max="3111" width="4.7109375" style="184" customWidth="1"/>
    <col min="3112" max="3128" width="12.7109375" style="184" customWidth="1"/>
    <col min="3129" max="3328" width="8.85546875" style="184"/>
    <col min="3329" max="3329" width="4.7109375" style="184" customWidth="1"/>
    <col min="3330" max="3346" width="12.7109375" style="184" customWidth="1"/>
    <col min="3347" max="3348" width="4.7109375" style="184" customWidth="1"/>
    <col min="3349" max="3365" width="12.7109375" style="184" customWidth="1"/>
    <col min="3366" max="3367" width="4.7109375" style="184" customWidth="1"/>
    <col min="3368" max="3384" width="12.7109375" style="184" customWidth="1"/>
    <col min="3385" max="3584" width="8.85546875" style="184"/>
    <col min="3585" max="3585" width="4.7109375" style="184" customWidth="1"/>
    <col min="3586" max="3602" width="12.7109375" style="184" customWidth="1"/>
    <col min="3603" max="3604" width="4.7109375" style="184" customWidth="1"/>
    <col min="3605" max="3621" width="12.7109375" style="184" customWidth="1"/>
    <col min="3622" max="3623" width="4.7109375" style="184" customWidth="1"/>
    <col min="3624" max="3640" width="12.7109375" style="184" customWidth="1"/>
    <col min="3641" max="3840" width="8.85546875" style="184"/>
    <col min="3841" max="3841" width="4.7109375" style="184" customWidth="1"/>
    <col min="3842" max="3858" width="12.7109375" style="184" customWidth="1"/>
    <col min="3859" max="3860" width="4.7109375" style="184" customWidth="1"/>
    <col min="3861" max="3877" width="12.7109375" style="184" customWidth="1"/>
    <col min="3878" max="3879" width="4.7109375" style="184" customWidth="1"/>
    <col min="3880" max="3896" width="12.7109375" style="184" customWidth="1"/>
    <col min="3897" max="4096" width="8.85546875" style="184"/>
    <col min="4097" max="4097" width="4.7109375" style="184" customWidth="1"/>
    <col min="4098" max="4114" width="12.7109375" style="184" customWidth="1"/>
    <col min="4115" max="4116" width="4.7109375" style="184" customWidth="1"/>
    <col min="4117" max="4133" width="12.7109375" style="184" customWidth="1"/>
    <col min="4134" max="4135" width="4.7109375" style="184" customWidth="1"/>
    <col min="4136" max="4152" width="12.7109375" style="184" customWidth="1"/>
    <col min="4153" max="4352" width="8.85546875" style="184"/>
    <col min="4353" max="4353" width="4.7109375" style="184" customWidth="1"/>
    <col min="4354" max="4370" width="12.7109375" style="184" customWidth="1"/>
    <col min="4371" max="4372" width="4.7109375" style="184" customWidth="1"/>
    <col min="4373" max="4389" width="12.7109375" style="184" customWidth="1"/>
    <col min="4390" max="4391" width="4.7109375" style="184" customWidth="1"/>
    <col min="4392" max="4408" width="12.7109375" style="184" customWidth="1"/>
    <col min="4409" max="4608" width="8.85546875" style="184"/>
    <col min="4609" max="4609" width="4.7109375" style="184" customWidth="1"/>
    <col min="4610" max="4626" width="12.7109375" style="184" customWidth="1"/>
    <col min="4627" max="4628" width="4.7109375" style="184" customWidth="1"/>
    <col min="4629" max="4645" width="12.7109375" style="184" customWidth="1"/>
    <col min="4646" max="4647" width="4.7109375" style="184" customWidth="1"/>
    <col min="4648" max="4664" width="12.7109375" style="184" customWidth="1"/>
    <col min="4665" max="4864" width="8.85546875" style="184"/>
    <col min="4865" max="4865" width="4.7109375" style="184" customWidth="1"/>
    <col min="4866" max="4882" width="12.7109375" style="184" customWidth="1"/>
    <col min="4883" max="4884" width="4.7109375" style="184" customWidth="1"/>
    <col min="4885" max="4901" width="12.7109375" style="184" customWidth="1"/>
    <col min="4902" max="4903" width="4.7109375" style="184" customWidth="1"/>
    <col min="4904" max="4920" width="12.7109375" style="184" customWidth="1"/>
    <col min="4921" max="5120" width="8.85546875" style="184"/>
    <col min="5121" max="5121" width="4.7109375" style="184" customWidth="1"/>
    <col min="5122" max="5138" width="12.7109375" style="184" customWidth="1"/>
    <col min="5139" max="5140" width="4.7109375" style="184" customWidth="1"/>
    <col min="5141" max="5157" width="12.7109375" style="184" customWidth="1"/>
    <col min="5158" max="5159" width="4.7109375" style="184" customWidth="1"/>
    <col min="5160" max="5176" width="12.7109375" style="184" customWidth="1"/>
    <col min="5177" max="5376" width="8.85546875" style="184"/>
    <col min="5377" max="5377" width="4.7109375" style="184" customWidth="1"/>
    <col min="5378" max="5394" width="12.7109375" style="184" customWidth="1"/>
    <col min="5395" max="5396" width="4.7109375" style="184" customWidth="1"/>
    <col min="5397" max="5413" width="12.7109375" style="184" customWidth="1"/>
    <col min="5414" max="5415" width="4.7109375" style="184" customWidth="1"/>
    <col min="5416" max="5432" width="12.7109375" style="184" customWidth="1"/>
    <col min="5433" max="5632" width="8.85546875" style="184"/>
    <col min="5633" max="5633" width="4.7109375" style="184" customWidth="1"/>
    <col min="5634" max="5650" width="12.7109375" style="184" customWidth="1"/>
    <col min="5651" max="5652" width="4.7109375" style="184" customWidth="1"/>
    <col min="5653" max="5669" width="12.7109375" style="184" customWidth="1"/>
    <col min="5670" max="5671" width="4.7109375" style="184" customWidth="1"/>
    <col min="5672" max="5688" width="12.7109375" style="184" customWidth="1"/>
    <col min="5689" max="5888" width="8.85546875" style="184"/>
    <col min="5889" max="5889" width="4.7109375" style="184" customWidth="1"/>
    <col min="5890" max="5906" width="12.7109375" style="184" customWidth="1"/>
    <col min="5907" max="5908" width="4.7109375" style="184" customWidth="1"/>
    <col min="5909" max="5925" width="12.7109375" style="184" customWidth="1"/>
    <col min="5926" max="5927" width="4.7109375" style="184" customWidth="1"/>
    <col min="5928" max="5944" width="12.7109375" style="184" customWidth="1"/>
    <col min="5945" max="6144" width="8.85546875" style="184"/>
    <col min="6145" max="6145" width="4.7109375" style="184" customWidth="1"/>
    <col min="6146" max="6162" width="12.7109375" style="184" customWidth="1"/>
    <col min="6163" max="6164" width="4.7109375" style="184" customWidth="1"/>
    <col min="6165" max="6181" width="12.7109375" style="184" customWidth="1"/>
    <col min="6182" max="6183" width="4.7109375" style="184" customWidth="1"/>
    <col min="6184" max="6200" width="12.7109375" style="184" customWidth="1"/>
    <col min="6201" max="6400" width="8.85546875" style="184"/>
    <col min="6401" max="6401" width="4.7109375" style="184" customWidth="1"/>
    <col min="6402" max="6418" width="12.7109375" style="184" customWidth="1"/>
    <col min="6419" max="6420" width="4.7109375" style="184" customWidth="1"/>
    <col min="6421" max="6437" width="12.7109375" style="184" customWidth="1"/>
    <col min="6438" max="6439" width="4.7109375" style="184" customWidth="1"/>
    <col min="6440" max="6456" width="12.7109375" style="184" customWidth="1"/>
    <col min="6457" max="6656" width="8.85546875" style="184"/>
    <col min="6657" max="6657" width="4.7109375" style="184" customWidth="1"/>
    <col min="6658" max="6674" width="12.7109375" style="184" customWidth="1"/>
    <col min="6675" max="6676" width="4.7109375" style="184" customWidth="1"/>
    <col min="6677" max="6693" width="12.7109375" style="184" customWidth="1"/>
    <col min="6694" max="6695" width="4.7109375" style="184" customWidth="1"/>
    <col min="6696" max="6712" width="12.7109375" style="184" customWidth="1"/>
    <col min="6713" max="6912" width="8.85546875" style="184"/>
    <col min="6913" max="6913" width="4.7109375" style="184" customWidth="1"/>
    <col min="6914" max="6930" width="12.7109375" style="184" customWidth="1"/>
    <col min="6931" max="6932" width="4.7109375" style="184" customWidth="1"/>
    <col min="6933" max="6949" width="12.7109375" style="184" customWidth="1"/>
    <col min="6950" max="6951" width="4.7109375" style="184" customWidth="1"/>
    <col min="6952" max="6968" width="12.7109375" style="184" customWidth="1"/>
    <col min="6969" max="7168" width="8.85546875" style="184"/>
    <col min="7169" max="7169" width="4.7109375" style="184" customWidth="1"/>
    <col min="7170" max="7186" width="12.7109375" style="184" customWidth="1"/>
    <col min="7187" max="7188" width="4.7109375" style="184" customWidth="1"/>
    <col min="7189" max="7205" width="12.7109375" style="184" customWidth="1"/>
    <col min="7206" max="7207" width="4.7109375" style="184" customWidth="1"/>
    <col min="7208" max="7224" width="12.7109375" style="184" customWidth="1"/>
    <col min="7225" max="7424" width="8.85546875" style="184"/>
    <col min="7425" max="7425" width="4.7109375" style="184" customWidth="1"/>
    <col min="7426" max="7442" width="12.7109375" style="184" customWidth="1"/>
    <col min="7443" max="7444" width="4.7109375" style="184" customWidth="1"/>
    <col min="7445" max="7461" width="12.7109375" style="184" customWidth="1"/>
    <col min="7462" max="7463" width="4.7109375" style="184" customWidth="1"/>
    <col min="7464" max="7480" width="12.7109375" style="184" customWidth="1"/>
    <col min="7481" max="7680" width="8.85546875" style="184"/>
    <col min="7681" max="7681" width="4.7109375" style="184" customWidth="1"/>
    <col min="7682" max="7698" width="12.7109375" style="184" customWidth="1"/>
    <col min="7699" max="7700" width="4.7109375" style="184" customWidth="1"/>
    <col min="7701" max="7717" width="12.7109375" style="184" customWidth="1"/>
    <col min="7718" max="7719" width="4.7109375" style="184" customWidth="1"/>
    <col min="7720" max="7736" width="12.7109375" style="184" customWidth="1"/>
    <col min="7737" max="7936" width="8.85546875" style="184"/>
    <col min="7937" max="7937" width="4.7109375" style="184" customWidth="1"/>
    <col min="7938" max="7954" width="12.7109375" style="184" customWidth="1"/>
    <col min="7955" max="7956" width="4.7109375" style="184" customWidth="1"/>
    <col min="7957" max="7973" width="12.7109375" style="184" customWidth="1"/>
    <col min="7974" max="7975" width="4.7109375" style="184" customWidth="1"/>
    <col min="7976" max="7992" width="12.7109375" style="184" customWidth="1"/>
    <col min="7993" max="8192" width="8.85546875" style="184"/>
    <col min="8193" max="8193" width="4.7109375" style="184" customWidth="1"/>
    <col min="8194" max="8210" width="12.7109375" style="184" customWidth="1"/>
    <col min="8211" max="8212" width="4.7109375" style="184" customWidth="1"/>
    <col min="8213" max="8229" width="12.7109375" style="184" customWidth="1"/>
    <col min="8230" max="8231" width="4.7109375" style="184" customWidth="1"/>
    <col min="8232" max="8248" width="12.7109375" style="184" customWidth="1"/>
    <col min="8249" max="8448" width="8.85546875" style="184"/>
    <col min="8449" max="8449" width="4.7109375" style="184" customWidth="1"/>
    <col min="8450" max="8466" width="12.7109375" style="184" customWidth="1"/>
    <col min="8467" max="8468" width="4.7109375" style="184" customWidth="1"/>
    <col min="8469" max="8485" width="12.7109375" style="184" customWidth="1"/>
    <col min="8486" max="8487" width="4.7109375" style="184" customWidth="1"/>
    <col min="8488" max="8504" width="12.7109375" style="184" customWidth="1"/>
    <col min="8505" max="8704" width="8.85546875" style="184"/>
    <col min="8705" max="8705" width="4.7109375" style="184" customWidth="1"/>
    <col min="8706" max="8722" width="12.7109375" style="184" customWidth="1"/>
    <col min="8723" max="8724" width="4.7109375" style="184" customWidth="1"/>
    <col min="8725" max="8741" width="12.7109375" style="184" customWidth="1"/>
    <col min="8742" max="8743" width="4.7109375" style="184" customWidth="1"/>
    <col min="8744" max="8760" width="12.7109375" style="184" customWidth="1"/>
    <col min="8761" max="8960" width="8.85546875" style="184"/>
    <col min="8961" max="8961" width="4.7109375" style="184" customWidth="1"/>
    <col min="8962" max="8978" width="12.7109375" style="184" customWidth="1"/>
    <col min="8979" max="8980" width="4.7109375" style="184" customWidth="1"/>
    <col min="8981" max="8997" width="12.7109375" style="184" customWidth="1"/>
    <col min="8998" max="8999" width="4.7109375" style="184" customWidth="1"/>
    <col min="9000" max="9016" width="12.7109375" style="184" customWidth="1"/>
    <col min="9017" max="9216" width="8.85546875" style="184"/>
    <col min="9217" max="9217" width="4.7109375" style="184" customWidth="1"/>
    <col min="9218" max="9234" width="12.7109375" style="184" customWidth="1"/>
    <col min="9235" max="9236" width="4.7109375" style="184" customWidth="1"/>
    <col min="9237" max="9253" width="12.7109375" style="184" customWidth="1"/>
    <col min="9254" max="9255" width="4.7109375" style="184" customWidth="1"/>
    <col min="9256" max="9272" width="12.7109375" style="184" customWidth="1"/>
    <col min="9273" max="9472" width="8.85546875" style="184"/>
    <col min="9473" max="9473" width="4.7109375" style="184" customWidth="1"/>
    <col min="9474" max="9490" width="12.7109375" style="184" customWidth="1"/>
    <col min="9491" max="9492" width="4.7109375" style="184" customWidth="1"/>
    <col min="9493" max="9509" width="12.7109375" style="184" customWidth="1"/>
    <col min="9510" max="9511" width="4.7109375" style="184" customWidth="1"/>
    <col min="9512" max="9528" width="12.7109375" style="184" customWidth="1"/>
    <col min="9529" max="9728" width="8.85546875" style="184"/>
    <col min="9729" max="9729" width="4.7109375" style="184" customWidth="1"/>
    <col min="9730" max="9746" width="12.7109375" style="184" customWidth="1"/>
    <col min="9747" max="9748" width="4.7109375" style="184" customWidth="1"/>
    <col min="9749" max="9765" width="12.7109375" style="184" customWidth="1"/>
    <col min="9766" max="9767" width="4.7109375" style="184" customWidth="1"/>
    <col min="9768" max="9784" width="12.7109375" style="184" customWidth="1"/>
    <col min="9785" max="9984" width="8.85546875" style="184"/>
    <col min="9985" max="9985" width="4.7109375" style="184" customWidth="1"/>
    <col min="9986" max="10002" width="12.7109375" style="184" customWidth="1"/>
    <col min="10003" max="10004" width="4.7109375" style="184" customWidth="1"/>
    <col min="10005" max="10021" width="12.7109375" style="184" customWidth="1"/>
    <col min="10022" max="10023" width="4.7109375" style="184" customWidth="1"/>
    <col min="10024" max="10040" width="12.7109375" style="184" customWidth="1"/>
    <col min="10041" max="10240" width="8.85546875" style="184"/>
    <col min="10241" max="10241" width="4.7109375" style="184" customWidth="1"/>
    <col min="10242" max="10258" width="12.7109375" style="184" customWidth="1"/>
    <col min="10259" max="10260" width="4.7109375" style="184" customWidth="1"/>
    <col min="10261" max="10277" width="12.7109375" style="184" customWidth="1"/>
    <col min="10278" max="10279" width="4.7109375" style="184" customWidth="1"/>
    <col min="10280" max="10296" width="12.7109375" style="184" customWidth="1"/>
    <col min="10297" max="10496" width="8.85546875" style="184"/>
    <col min="10497" max="10497" width="4.7109375" style="184" customWidth="1"/>
    <col min="10498" max="10514" width="12.7109375" style="184" customWidth="1"/>
    <col min="10515" max="10516" width="4.7109375" style="184" customWidth="1"/>
    <col min="10517" max="10533" width="12.7109375" style="184" customWidth="1"/>
    <col min="10534" max="10535" width="4.7109375" style="184" customWidth="1"/>
    <col min="10536" max="10552" width="12.7109375" style="184" customWidth="1"/>
    <col min="10553" max="10752" width="8.85546875" style="184"/>
    <col min="10753" max="10753" width="4.7109375" style="184" customWidth="1"/>
    <col min="10754" max="10770" width="12.7109375" style="184" customWidth="1"/>
    <col min="10771" max="10772" width="4.7109375" style="184" customWidth="1"/>
    <col min="10773" max="10789" width="12.7109375" style="184" customWidth="1"/>
    <col min="10790" max="10791" width="4.7109375" style="184" customWidth="1"/>
    <col min="10792" max="10808" width="12.7109375" style="184" customWidth="1"/>
    <col min="10809" max="11008" width="8.85546875" style="184"/>
    <col min="11009" max="11009" width="4.7109375" style="184" customWidth="1"/>
    <col min="11010" max="11026" width="12.7109375" style="184" customWidth="1"/>
    <col min="11027" max="11028" width="4.7109375" style="184" customWidth="1"/>
    <col min="11029" max="11045" width="12.7109375" style="184" customWidth="1"/>
    <col min="11046" max="11047" width="4.7109375" style="184" customWidth="1"/>
    <col min="11048" max="11064" width="12.7109375" style="184" customWidth="1"/>
    <col min="11065" max="11264" width="8.85546875" style="184"/>
    <col min="11265" max="11265" width="4.7109375" style="184" customWidth="1"/>
    <col min="11266" max="11282" width="12.7109375" style="184" customWidth="1"/>
    <col min="11283" max="11284" width="4.7109375" style="184" customWidth="1"/>
    <col min="11285" max="11301" width="12.7109375" style="184" customWidth="1"/>
    <col min="11302" max="11303" width="4.7109375" style="184" customWidth="1"/>
    <col min="11304" max="11320" width="12.7109375" style="184" customWidth="1"/>
    <col min="11321" max="11520" width="8.85546875" style="184"/>
    <col min="11521" max="11521" width="4.7109375" style="184" customWidth="1"/>
    <col min="11522" max="11538" width="12.7109375" style="184" customWidth="1"/>
    <col min="11539" max="11540" width="4.7109375" style="184" customWidth="1"/>
    <col min="11541" max="11557" width="12.7109375" style="184" customWidth="1"/>
    <col min="11558" max="11559" width="4.7109375" style="184" customWidth="1"/>
    <col min="11560" max="11576" width="12.7109375" style="184" customWidth="1"/>
    <col min="11577" max="11776" width="8.85546875" style="184"/>
    <col min="11777" max="11777" width="4.7109375" style="184" customWidth="1"/>
    <col min="11778" max="11794" width="12.7109375" style="184" customWidth="1"/>
    <col min="11795" max="11796" width="4.7109375" style="184" customWidth="1"/>
    <col min="11797" max="11813" width="12.7109375" style="184" customWidth="1"/>
    <col min="11814" max="11815" width="4.7109375" style="184" customWidth="1"/>
    <col min="11816" max="11832" width="12.7109375" style="184" customWidth="1"/>
    <col min="11833" max="12032" width="8.85546875" style="184"/>
    <col min="12033" max="12033" width="4.7109375" style="184" customWidth="1"/>
    <col min="12034" max="12050" width="12.7109375" style="184" customWidth="1"/>
    <col min="12051" max="12052" width="4.7109375" style="184" customWidth="1"/>
    <col min="12053" max="12069" width="12.7109375" style="184" customWidth="1"/>
    <col min="12070" max="12071" width="4.7109375" style="184" customWidth="1"/>
    <col min="12072" max="12088" width="12.7109375" style="184" customWidth="1"/>
    <col min="12089" max="12288" width="8.85546875" style="184"/>
    <col min="12289" max="12289" width="4.7109375" style="184" customWidth="1"/>
    <col min="12290" max="12306" width="12.7109375" style="184" customWidth="1"/>
    <col min="12307" max="12308" width="4.7109375" style="184" customWidth="1"/>
    <col min="12309" max="12325" width="12.7109375" style="184" customWidth="1"/>
    <col min="12326" max="12327" width="4.7109375" style="184" customWidth="1"/>
    <col min="12328" max="12344" width="12.7109375" style="184" customWidth="1"/>
    <col min="12345" max="12544" width="8.85546875" style="184"/>
    <col min="12545" max="12545" width="4.7109375" style="184" customWidth="1"/>
    <col min="12546" max="12562" width="12.7109375" style="184" customWidth="1"/>
    <col min="12563" max="12564" width="4.7109375" style="184" customWidth="1"/>
    <col min="12565" max="12581" width="12.7109375" style="184" customWidth="1"/>
    <col min="12582" max="12583" width="4.7109375" style="184" customWidth="1"/>
    <col min="12584" max="12600" width="12.7109375" style="184" customWidth="1"/>
    <col min="12601" max="12800" width="8.85546875" style="184"/>
    <col min="12801" max="12801" width="4.7109375" style="184" customWidth="1"/>
    <col min="12802" max="12818" width="12.7109375" style="184" customWidth="1"/>
    <col min="12819" max="12820" width="4.7109375" style="184" customWidth="1"/>
    <col min="12821" max="12837" width="12.7109375" style="184" customWidth="1"/>
    <col min="12838" max="12839" width="4.7109375" style="184" customWidth="1"/>
    <col min="12840" max="12856" width="12.7109375" style="184" customWidth="1"/>
    <col min="12857" max="13056" width="8.85546875" style="184"/>
    <col min="13057" max="13057" width="4.7109375" style="184" customWidth="1"/>
    <col min="13058" max="13074" width="12.7109375" style="184" customWidth="1"/>
    <col min="13075" max="13076" width="4.7109375" style="184" customWidth="1"/>
    <col min="13077" max="13093" width="12.7109375" style="184" customWidth="1"/>
    <col min="13094" max="13095" width="4.7109375" style="184" customWidth="1"/>
    <col min="13096" max="13112" width="12.7109375" style="184" customWidth="1"/>
    <col min="13113" max="13312" width="8.85546875" style="184"/>
    <col min="13313" max="13313" width="4.7109375" style="184" customWidth="1"/>
    <col min="13314" max="13330" width="12.7109375" style="184" customWidth="1"/>
    <col min="13331" max="13332" width="4.7109375" style="184" customWidth="1"/>
    <col min="13333" max="13349" width="12.7109375" style="184" customWidth="1"/>
    <col min="13350" max="13351" width="4.7109375" style="184" customWidth="1"/>
    <col min="13352" max="13368" width="12.7109375" style="184" customWidth="1"/>
    <col min="13369" max="13568" width="8.85546875" style="184"/>
    <col min="13569" max="13569" width="4.7109375" style="184" customWidth="1"/>
    <col min="13570" max="13586" width="12.7109375" style="184" customWidth="1"/>
    <col min="13587" max="13588" width="4.7109375" style="184" customWidth="1"/>
    <col min="13589" max="13605" width="12.7109375" style="184" customWidth="1"/>
    <col min="13606" max="13607" width="4.7109375" style="184" customWidth="1"/>
    <col min="13608" max="13624" width="12.7109375" style="184" customWidth="1"/>
    <col min="13625" max="13824" width="8.85546875" style="184"/>
    <col min="13825" max="13825" width="4.7109375" style="184" customWidth="1"/>
    <col min="13826" max="13842" width="12.7109375" style="184" customWidth="1"/>
    <col min="13843" max="13844" width="4.7109375" style="184" customWidth="1"/>
    <col min="13845" max="13861" width="12.7109375" style="184" customWidth="1"/>
    <col min="13862" max="13863" width="4.7109375" style="184" customWidth="1"/>
    <col min="13864" max="13880" width="12.7109375" style="184" customWidth="1"/>
    <col min="13881" max="14080" width="8.85546875" style="184"/>
    <col min="14081" max="14081" width="4.7109375" style="184" customWidth="1"/>
    <col min="14082" max="14098" width="12.7109375" style="184" customWidth="1"/>
    <col min="14099" max="14100" width="4.7109375" style="184" customWidth="1"/>
    <col min="14101" max="14117" width="12.7109375" style="184" customWidth="1"/>
    <col min="14118" max="14119" width="4.7109375" style="184" customWidth="1"/>
    <col min="14120" max="14136" width="12.7109375" style="184" customWidth="1"/>
    <col min="14137" max="14336" width="8.85546875" style="184"/>
    <col min="14337" max="14337" width="4.7109375" style="184" customWidth="1"/>
    <col min="14338" max="14354" width="12.7109375" style="184" customWidth="1"/>
    <col min="14355" max="14356" width="4.7109375" style="184" customWidth="1"/>
    <col min="14357" max="14373" width="12.7109375" style="184" customWidth="1"/>
    <col min="14374" max="14375" width="4.7109375" style="184" customWidth="1"/>
    <col min="14376" max="14392" width="12.7109375" style="184" customWidth="1"/>
    <col min="14393" max="14592" width="8.85546875" style="184"/>
    <col min="14593" max="14593" width="4.7109375" style="184" customWidth="1"/>
    <col min="14594" max="14610" width="12.7109375" style="184" customWidth="1"/>
    <col min="14611" max="14612" width="4.7109375" style="184" customWidth="1"/>
    <col min="14613" max="14629" width="12.7109375" style="184" customWidth="1"/>
    <col min="14630" max="14631" width="4.7109375" style="184" customWidth="1"/>
    <col min="14632" max="14648" width="12.7109375" style="184" customWidth="1"/>
    <col min="14649" max="14848" width="8.85546875" style="184"/>
    <col min="14849" max="14849" width="4.7109375" style="184" customWidth="1"/>
    <col min="14850" max="14866" width="12.7109375" style="184" customWidth="1"/>
    <col min="14867" max="14868" width="4.7109375" style="184" customWidth="1"/>
    <col min="14869" max="14885" width="12.7109375" style="184" customWidth="1"/>
    <col min="14886" max="14887" width="4.7109375" style="184" customWidth="1"/>
    <col min="14888" max="14904" width="12.7109375" style="184" customWidth="1"/>
    <col min="14905" max="15104" width="8.85546875" style="184"/>
    <col min="15105" max="15105" width="4.7109375" style="184" customWidth="1"/>
    <col min="15106" max="15122" width="12.7109375" style="184" customWidth="1"/>
    <col min="15123" max="15124" width="4.7109375" style="184" customWidth="1"/>
    <col min="15125" max="15141" width="12.7109375" style="184" customWidth="1"/>
    <col min="15142" max="15143" width="4.7109375" style="184" customWidth="1"/>
    <col min="15144" max="15160" width="12.7109375" style="184" customWidth="1"/>
    <col min="15161" max="15360" width="8.85546875" style="184"/>
    <col min="15361" max="15361" width="4.7109375" style="184" customWidth="1"/>
    <col min="15362" max="15378" width="12.7109375" style="184" customWidth="1"/>
    <col min="15379" max="15380" width="4.7109375" style="184" customWidth="1"/>
    <col min="15381" max="15397" width="12.7109375" style="184" customWidth="1"/>
    <col min="15398" max="15399" width="4.7109375" style="184" customWidth="1"/>
    <col min="15400" max="15416" width="12.7109375" style="184" customWidth="1"/>
    <col min="15417" max="15616" width="8.85546875" style="184"/>
    <col min="15617" max="15617" width="4.7109375" style="184" customWidth="1"/>
    <col min="15618" max="15634" width="12.7109375" style="184" customWidth="1"/>
    <col min="15635" max="15636" width="4.7109375" style="184" customWidth="1"/>
    <col min="15637" max="15653" width="12.7109375" style="184" customWidth="1"/>
    <col min="15654" max="15655" width="4.7109375" style="184" customWidth="1"/>
    <col min="15656" max="15672" width="12.7109375" style="184" customWidth="1"/>
    <col min="15673" max="15872" width="8.85546875" style="184"/>
    <col min="15873" max="15873" width="4.7109375" style="184" customWidth="1"/>
    <col min="15874" max="15890" width="12.7109375" style="184" customWidth="1"/>
    <col min="15891" max="15892" width="4.7109375" style="184" customWidth="1"/>
    <col min="15893" max="15909" width="12.7109375" style="184" customWidth="1"/>
    <col min="15910" max="15911" width="4.7109375" style="184" customWidth="1"/>
    <col min="15912" max="15928" width="12.7109375" style="184" customWidth="1"/>
    <col min="15929" max="16128" width="8.85546875" style="184"/>
    <col min="16129" max="16129" width="4.7109375" style="184" customWidth="1"/>
    <col min="16130" max="16146" width="12.7109375" style="184" customWidth="1"/>
    <col min="16147" max="16148" width="4.7109375" style="184" customWidth="1"/>
    <col min="16149" max="16165" width="12.7109375" style="184" customWidth="1"/>
    <col min="16166" max="16167" width="4.7109375" style="184" customWidth="1"/>
    <col min="16168" max="16184" width="12.7109375" style="184" customWidth="1"/>
    <col min="16185" max="16384" width="8.85546875" style="184"/>
  </cols>
  <sheetData>
    <row r="1" spans="1:60" ht="20.100000000000001" customHeight="1">
      <c r="A1" s="182"/>
      <c r="B1" s="155" t="s">
        <v>2164</v>
      </c>
      <c r="C1" s="156"/>
      <c r="D1" s="156"/>
      <c r="E1" s="156"/>
      <c r="F1" s="156"/>
      <c r="G1" s="156"/>
      <c r="H1" s="156"/>
      <c r="I1" s="156"/>
      <c r="J1" s="156"/>
      <c r="K1" s="156"/>
      <c r="L1" s="15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83"/>
      <c r="AN1" s="156"/>
      <c r="AO1" s="156"/>
      <c r="AP1" s="156"/>
      <c r="AQ1" s="156"/>
      <c r="AR1" s="156"/>
      <c r="AS1" s="156"/>
      <c r="AT1" s="156"/>
      <c r="AU1" s="156"/>
      <c r="AV1" s="156"/>
      <c r="AW1" s="156"/>
      <c r="AX1" s="156"/>
      <c r="AY1" s="156"/>
      <c r="AZ1" s="156"/>
      <c r="BA1" s="156"/>
      <c r="BB1" s="156"/>
      <c r="BC1" s="156"/>
      <c r="BD1" s="156"/>
    </row>
    <row r="3" spans="1:60">
      <c r="B3" s="562">
        <v>2005</v>
      </c>
      <c r="C3" s="562"/>
      <c r="D3" s="562"/>
      <c r="E3" s="562"/>
      <c r="F3" s="562"/>
      <c r="G3" s="562"/>
      <c r="H3" s="562"/>
      <c r="I3" s="562"/>
      <c r="J3" s="562"/>
      <c r="K3" s="562"/>
      <c r="L3" s="562"/>
      <c r="M3" s="562"/>
      <c r="N3" s="562"/>
      <c r="O3" s="562"/>
      <c r="P3" s="562"/>
      <c r="Q3" s="562"/>
      <c r="R3" s="562"/>
      <c r="S3" s="186"/>
      <c r="T3" s="186"/>
      <c r="U3" s="562" t="s">
        <v>2165</v>
      </c>
      <c r="V3" s="562"/>
      <c r="W3" s="562"/>
      <c r="X3" s="562"/>
      <c r="Y3" s="562"/>
      <c r="Z3" s="562"/>
      <c r="AA3" s="562"/>
      <c r="AB3" s="562"/>
      <c r="AC3" s="562"/>
      <c r="AD3" s="562"/>
      <c r="AE3" s="562"/>
      <c r="AF3" s="562"/>
      <c r="AG3" s="562"/>
      <c r="AH3" s="562"/>
      <c r="AI3" s="562"/>
      <c r="AJ3" s="562"/>
      <c r="AK3" s="562"/>
      <c r="AN3" s="562" t="s">
        <v>2166</v>
      </c>
      <c r="AO3" s="562"/>
      <c r="AP3" s="562"/>
      <c r="AQ3" s="562"/>
      <c r="AR3" s="562"/>
      <c r="AS3" s="562"/>
      <c r="AT3" s="562"/>
      <c r="AU3" s="562"/>
      <c r="AV3" s="562"/>
      <c r="AW3" s="562"/>
      <c r="AX3" s="562"/>
      <c r="AY3" s="562"/>
      <c r="AZ3" s="562"/>
      <c r="BA3" s="562"/>
      <c r="BB3" s="562"/>
      <c r="BC3" s="562"/>
      <c r="BD3" s="562"/>
      <c r="BE3" s="188"/>
      <c r="BF3" s="188"/>
      <c r="BG3" s="188"/>
      <c r="BH3" s="188"/>
    </row>
    <row r="4" spans="1:60">
      <c r="D4" s="190" t="s">
        <v>27</v>
      </c>
      <c r="E4" s="190" t="s">
        <v>28</v>
      </c>
      <c r="F4" s="190" t="s">
        <v>29</v>
      </c>
      <c r="G4" s="190" t="s">
        <v>30</v>
      </c>
      <c r="H4" s="190" t="s">
        <v>31</v>
      </c>
      <c r="I4" s="190" t="s">
        <v>32</v>
      </c>
      <c r="J4" s="190" t="s">
        <v>33</v>
      </c>
      <c r="K4" s="190" t="s">
        <v>34</v>
      </c>
      <c r="L4" s="190" t="s">
        <v>2167</v>
      </c>
      <c r="M4" s="190" t="s">
        <v>36</v>
      </c>
      <c r="N4" s="190" t="s">
        <v>37</v>
      </c>
      <c r="O4" s="190" t="s">
        <v>38</v>
      </c>
      <c r="P4" s="190" t="s">
        <v>39</v>
      </c>
      <c r="Q4" s="190" t="s">
        <v>40</v>
      </c>
      <c r="R4" s="190" t="s">
        <v>41</v>
      </c>
      <c r="S4" s="186"/>
      <c r="T4" s="186"/>
      <c r="W4" s="190" t="s">
        <v>27</v>
      </c>
      <c r="X4" s="190" t="s">
        <v>28</v>
      </c>
      <c r="Y4" s="190" t="s">
        <v>29</v>
      </c>
      <c r="Z4" s="190" t="s">
        <v>30</v>
      </c>
      <c r="AA4" s="190" t="s">
        <v>31</v>
      </c>
      <c r="AB4" s="190" t="s">
        <v>32</v>
      </c>
      <c r="AC4" s="190" t="s">
        <v>33</v>
      </c>
      <c r="AD4" s="190" t="s">
        <v>34</v>
      </c>
      <c r="AE4" s="190" t="s">
        <v>2167</v>
      </c>
      <c r="AF4" s="190" t="s">
        <v>36</v>
      </c>
      <c r="AG4" s="190" t="s">
        <v>37</v>
      </c>
      <c r="AH4" s="190" t="s">
        <v>38</v>
      </c>
      <c r="AI4" s="190" t="s">
        <v>39</v>
      </c>
      <c r="AJ4" s="190" t="s">
        <v>40</v>
      </c>
      <c r="AK4" s="190" t="s">
        <v>41</v>
      </c>
      <c r="AP4" s="190" t="s">
        <v>27</v>
      </c>
      <c r="AQ4" s="190" t="s">
        <v>28</v>
      </c>
      <c r="AR4" s="190" t="s">
        <v>29</v>
      </c>
      <c r="AS4" s="190" t="s">
        <v>30</v>
      </c>
      <c r="AT4" s="190" t="s">
        <v>31</v>
      </c>
      <c r="AU4" s="190" t="s">
        <v>32</v>
      </c>
      <c r="AV4" s="190" t="s">
        <v>33</v>
      </c>
      <c r="AW4" s="190" t="s">
        <v>34</v>
      </c>
      <c r="AX4" s="190" t="s">
        <v>2167</v>
      </c>
      <c r="AY4" s="190" t="s">
        <v>36</v>
      </c>
      <c r="AZ4" s="190" t="s">
        <v>37</v>
      </c>
      <c r="BA4" s="190" t="s">
        <v>38</v>
      </c>
      <c r="BB4" s="190" t="s">
        <v>39</v>
      </c>
      <c r="BC4" s="190" t="s">
        <v>40</v>
      </c>
      <c r="BD4" s="190" t="s">
        <v>41</v>
      </c>
      <c r="BE4" s="191"/>
      <c r="BF4" s="191"/>
      <c r="BG4" s="191"/>
      <c r="BH4" s="191"/>
    </row>
    <row r="5" spans="1:60">
      <c r="D5" s="190" t="s">
        <v>2168</v>
      </c>
      <c r="E5" s="190" t="s">
        <v>2168</v>
      </c>
      <c r="F5" s="190" t="s">
        <v>2168</v>
      </c>
      <c r="G5" s="190" t="s">
        <v>2168</v>
      </c>
      <c r="H5" s="190" t="s">
        <v>2168</v>
      </c>
      <c r="I5" s="190" t="s">
        <v>2169</v>
      </c>
      <c r="J5" s="190" t="s">
        <v>2169</v>
      </c>
      <c r="K5" s="190" t="s">
        <v>2169</v>
      </c>
      <c r="L5" s="190" t="s">
        <v>2169</v>
      </c>
      <c r="M5" s="190" t="s">
        <v>2169</v>
      </c>
      <c r="N5" s="190" t="s">
        <v>2169</v>
      </c>
      <c r="O5" s="190" t="s">
        <v>2169</v>
      </c>
      <c r="P5" s="190" t="s">
        <v>2169</v>
      </c>
      <c r="Q5" s="190" t="s">
        <v>2169</v>
      </c>
      <c r="R5" s="190" t="s">
        <v>2169</v>
      </c>
      <c r="S5" s="186"/>
      <c r="T5" s="186"/>
      <c r="W5" s="190" t="s">
        <v>2168</v>
      </c>
      <c r="X5" s="190" t="s">
        <v>2168</v>
      </c>
      <c r="Y5" s="190" t="s">
        <v>2168</v>
      </c>
      <c r="Z5" s="190" t="s">
        <v>2168</v>
      </c>
      <c r="AA5" s="190" t="s">
        <v>2168</v>
      </c>
      <c r="AB5" s="190" t="s">
        <v>2169</v>
      </c>
      <c r="AC5" s="190" t="s">
        <v>2169</v>
      </c>
      <c r="AD5" s="190" t="s">
        <v>2169</v>
      </c>
      <c r="AE5" s="190" t="s">
        <v>2169</v>
      </c>
      <c r="AF5" s="190" t="s">
        <v>2169</v>
      </c>
      <c r="AG5" s="190" t="s">
        <v>2169</v>
      </c>
      <c r="AH5" s="190" t="s">
        <v>2169</v>
      </c>
      <c r="AI5" s="190" t="s">
        <v>2169</v>
      </c>
      <c r="AJ5" s="190" t="s">
        <v>2169</v>
      </c>
      <c r="AK5" s="190" t="s">
        <v>2169</v>
      </c>
      <c r="AP5" s="190" t="s">
        <v>2168</v>
      </c>
      <c r="AQ5" s="190" t="s">
        <v>2168</v>
      </c>
      <c r="AR5" s="190" t="s">
        <v>2168</v>
      </c>
      <c r="AS5" s="190" t="s">
        <v>2168</v>
      </c>
      <c r="AT5" s="190" t="s">
        <v>2168</v>
      </c>
      <c r="AU5" s="190" t="s">
        <v>2169</v>
      </c>
      <c r="AV5" s="190" t="s">
        <v>2169</v>
      </c>
      <c r="AW5" s="190" t="s">
        <v>2169</v>
      </c>
      <c r="AX5" s="190" t="s">
        <v>2169</v>
      </c>
      <c r="AY5" s="190" t="s">
        <v>2169</v>
      </c>
      <c r="AZ5" s="190" t="s">
        <v>2169</v>
      </c>
      <c r="BA5" s="190" t="s">
        <v>2169</v>
      </c>
      <c r="BB5" s="190" t="s">
        <v>2169</v>
      </c>
      <c r="BC5" s="190" t="s">
        <v>2169</v>
      </c>
      <c r="BD5" s="190" t="s">
        <v>2169</v>
      </c>
      <c r="BE5" s="191"/>
      <c r="BF5" s="191"/>
      <c r="BG5" s="191"/>
      <c r="BH5" s="191"/>
    </row>
    <row r="6" spans="1:60">
      <c r="A6" s="187"/>
      <c r="B6" s="189" t="s">
        <v>2170</v>
      </c>
      <c r="C6" s="184" t="s">
        <v>23</v>
      </c>
      <c r="D6" s="192">
        <v>232.22708639326493</v>
      </c>
      <c r="E6" s="192">
        <v>223.77864758130053</v>
      </c>
      <c r="F6" s="192">
        <v>40.439687308475563</v>
      </c>
      <c r="G6" s="192">
        <v>119.52334562594858</v>
      </c>
      <c r="H6" s="192">
        <v>63.815614646876398</v>
      </c>
      <c r="I6" s="192">
        <v>5.7902352629063394</v>
      </c>
      <c r="J6" s="193">
        <v>0.4818664142774603</v>
      </c>
      <c r="K6" s="193">
        <v>4.1462700887992846E-4</v>
      </c>
      <c r="L6" s="192">
        <v>17.960454468489068</v>
      </c>
      <c r="M6" s="193">
        <v>1.8769000544252928E-2</v>
      </c>
      <c r="N6" s="193">
        <v>4.6654665346939073E-2</v>
      </c>
      <c r="O6" s="193">
        <v>0.14501878032274348</v>
      </c>
      <c r="P6" s="193">
        <v>1.1258772119930148E-2</v>
      </c>
      <c r="Q6" s="193">
        <v>5.2830047190226062E-3</v>
      </c>
      <c r="R6" s="193">
        <v>5.2009403441377271E-2</v>
      </c>
      <c r="S6" s="193"/>
      <c r="T6" s="193"/>
      <c r="U6" s="184" t="s">
        <v>2170</v>
      </c>
      <c r="V6" s="184" t="s">
        <v>23</v>
      </c>
      <c r="W6" s="194">
        <v>314.04860158365074</v>
      </c>
      <c r="X6" s="194">
        <v>306.91741230897026</v>
      </c>
      <c r="Y6" s="194">
        <v>37.03555887220611</v>
      </c>
      <c r="Z6" s="194">
        <v>212.61997476890591</v>
      </c>
      <c r="AA6" s="194">
        <v>57.26187866785822</v>
      </c>
      <c r="AB6" s="194">
        <v>13.347285007233801</v>
      </c>
      <c r="AC6" s="194">
        <v>0.44839996314945546</v>
      </c>
      <c r="AD6" s="194">
        <v>4.8035821785407821E-4</v>
      </c>
      <c r="AE6" s="194">
        <v>24.700430834890703</v>
      </c>
      <c r="AF6" s="194">
        <v>1.6847349355484011E-2</v>
      </c>
      <c r="AG6" s="194">
        <v>3.0019918793828631E-2</v>
      </c>
      <c r="AH6" s="194">
        <v>0.10518756052629354</v>
      </c>
      <c r="AI6" s="194">
        <v>9.8031985220691804E-3</v>
      </c>
      <c r="AJ6" s="194">
        <v>4.5802925926152578E-3</v>
      </c>
      <c r="AK6" s="194">
        <v>3.6834396522709166E-2</v>
      </c>
      <c r="AN6" s="184" t="s">
        <v>2170</v>
      </c>
      <c r="AO6" s="184" t="s">
        <v>23</v>
      </c>
      <c r="AP6" s="194">
        <v>214.45033079569293</v>
      </c>
      <c r="AQ6" s="194">
        <v>209.58074726241111</v>
      </c>
      <c r="AR6" s="194">
        <v>25.289995915592172</v>
      </c>
      <c r="AS6" s="194">
        <v>145.18906848505287</v>
      </c>
      <c r="AT6" s="194">
        <v>39.101682861766037</v>
      </c>
      <c r="AU6" s="194">
        <v>9.1142889049396523</v>
      </c>
      <c r="AV6" s="194">
        <v>0.30619311769348528</v>
      </c>
      <c r="AW6" s="194">
        <v>3.2801604019178484E-4</v>
      </c>
      <c r="AX6" s="194">
        <v>16.866865627253937</v>
      </c>
      <c r="AY6" s="194">
        <v>1.1504332845601938E-2</v>
      </c>
      <c r="AZ6" s="194">
        <v>2.0499315976357263E-2</v>
      </c>
      <c r="BA6" s="194">
        <v>7.1828077045097583E-2</v>
      </c>
      <c r="BB6" s="194">
        <v>6.6941841336415255E-3</v>
      </c>
      <c r="BC6" s="194">
        <v>3.12768551324299E-3</v>
      </c>
      <c r="BD6" s="194">
        <v>2.5152630768364256E-2</v>
      </c>
    </row>
    <row r="7" spans="1:60">
      <c r="A7" s="187"/>
      <c r="C7" s="184" t="s">
        <v>24</v>
      </c>
      <c r="D7" s="192">
        <v>1241.454456507925</v>
      </c>
      <c r="E7" s="192">
        <v>922.93664831351794</v>
      </c>
      <c r="F7" s="192">
        <v>173.95872768872096</v>
      </c>
      <c r="G7" s="192">
        <v>292.01430997665983</v>
      </c>
      <c r="H7" s="192">
        <v>456.96361064813715</v>
      </c>
      <c r="I7" s="192">
        <v>71.69046611086155</v>
      </c>
      <c r="J7" s="193">
        <v>8.0392927272339029E-2</v>
      </c>
      <c r="K7" s="193">
        <v>1.1032180351179329E-2</v>
      </c>
      <c r="L7" s="192">
        <v>76.987879037321463</v>
      </c>
      <c r="M7" s="193">
        <v>0.13244858953816865</v>
      </c>
      <c r="N7" s="193">
        <v>6.3642214455997756E-2</v>
      </c>
      <c r="O7" s="193">
        <v>0.16986114201108515</v>
      </c>
      <c r="P7" s="193">
        <v>5.2334789385723675E-2</v>
      </c>
      <c r="Q7" s="193">
        <v>2.0090096933397993E-2</v>
      </c>
      <c r="R7" s="193">
        <v>0.11404366164351329</v>
      </c>
      <c r="S7" s="193"/>
      <c r="T7" s="193"/>
      <c r="V7" s="184" t="s">
        <v>24</v>
      </c>
      <c r="W7" s="194">
        <v>1125.4235337071157</v>
      </c>
      <c r="X7" s="194">
        <v>839.93004406252635</v>
      </c>
      <c r="Y7" s="194">
        <v>151.06710753389814</v>
      </c>
      <c r="Z7" s="194">
        <v>278.48492279437005</v>
      </c>
      <c r="AA7" s="194">
        <v>410.37801373425816</v>
      </c>
      <c r="AB7" s="194">
        <v>64.28957740883672</v>
      </c>
      <c r="AC7" s="194">
        <v>7.2949095511872786E-2</v>
      </c>
      <c r="AD7" s="194">
        <v>9.1390912738061082E-3</v>
      </c>
      <c r="AE7" s="194">
        <v>68.836753996227756</v>
      </c>
      <c r="AF7" s="194">
        <v>0.11809547167533332</v>
      </c>
      <c r="AG7" s="194">
        <v>4.4860622462558182E-2</v>
      </c>
      <c r="AH7" s="194">
        <v>0.11189443102049479</v>
      </c>
      <c r="AI7" s="194">
        <v>4.0964395602311403E-2</v>
      </c>
      <c r="AJ7" s="194">
        <v>1.4727784317656176E-2</v>
      </c>
      <c r="AK7" s="194">
        <v>6.3453267289657597E-2</v>
      </c>
      <c r="AO7" s="184" t="s">
        <v>24</v>
      </c>
      <c r="AP7" s="194">
        <v>768.50349873143034</v>
      </c>
      <c r="AQ7" s="194">
        <v>573.55223008841085</v>
      </c>
      <c r="AR7" s="194">
        <v>103.15725343029044</v>
      </c>
      <c r="AS7" s="194">
        <v>190.16541870815553</v>
      </c>
      <c r="AT7" s="194">
        <v>280.22955794996483</v>
      </c>
      <c r="AU7" s="194">
        <v>43.900597144891357</v>
      </c>
      <c r="AV7" s="194">
        <v>4.9813810935250273E-2</v>
      </c>
      <c r="AW7" s="194">
        <v>6.2406937555418854E-3</v>
      </c>
      <c r="AX7" s="194">
        <v>47.005669157424094</v>
      </c>
      <c r="AY7" s="194">
        <v>8.064233637258475E-2</v>
      </c>
      <c r="AZ7" s="194">
        <v>3.0633396481575443E-2</v>
      </c>
      <c r="BA7" s="194">
        <v>7.6407911468280729E-2</v>
      </c>
      <c r="BB7" s="194">
        <v>2.7972830139864072E-2</v>
      </c>
      <c r="BC7" s="194">
        <v>1.0056972719770931E-2</v>
      </c>
      <c r="BD7" s="194">
        <v>4.3329516806366188E-2</v>
      </c>
    </row>
    <row r="8" spans="1:60">
      <c r="A8" s="187"/>
      <c r="C8" s="184" t="s">
        <v>243</v>
      </c>
      <c r="D8" s="192">
        <v>5259.3291552764586</v>
      </c>
      <c r="E8" s="192">
        <v>5038.1566800555111</v>
      </c>
      <c r="F8" s="192">
        <v>0</v>
      </c>
      <c r="G8" s="192">
        <v>0</v>
      </c>
      <c r="H8" s="192">
        <v>5038.1566800555111</v>
      </c>
      <c r="I8" s="192">
        <v>403.63821458194917</v>
      </c>
      <c r="J8" s="193">
        <v>2.2100000000000002E-2</v>
      </c>
      <c r="K8" s="193">
        <v>1.2E-2</v>
      </c>
      <c r="L8" s="192">
        <v>407.76671458194915</v>
      </c>
      <c r="M8" s="193">
        <v>0.22699999999999998</v>
      </c>
      <c r="N8" s="193">
        <v>5.21</v>
      </c>
      <c r="O8" s="193">
        <v>0.3</v>
      </c>
      <c r="P8" s="193">
        <v>2.93E-2</v>
      </c>
      <c r="Q8" s="193">
        <v>1.54E-2</v>
      </c>
      <c r="R8" s="193">
        <v>6.6809464861280156E-3</v>
      </c>
      <c r="S8" s="193"/>
      <c r="T8" s="193"/>
      <c r="V8" s="184" t="s">
        <v>243</v>
      </c>
      <c r="W8" s="194">
        <v>4753.2012449360473</v>
      </c>
      <c r="X8" s="194">
        <v>4553.3131501756925</v>
      </c>
      <c r="Y8" s="194">
        <v>0</v>
      </c>
      <c r="Z8" s="194">
        <v>0</v>
      </c>
      <c r="AA8" s="194">
        <v>4553.3131501756925</v>
      </c>
      <c r="AB8" s="194">
        <v>364.82124602385363</v>
      </c>
      <c r="AC8" s="194">
        <v>1.0200000000000001E-2</v>
      </c>
      <c r="AD8" s="194">
        <v>1.2E-2</v>
      </c>
      <c r="AE8" s="194">
        <v>368.65224602385365</v>
      </c>
      <c r="AF8" s="194">
        <v>0.15</v>
      </c>
      <c r="AG8" s="194">
        <v>3.46</v>
      </c>
      <c r="AH8" s="194">
        <v>6.9000000000000006E-2</v>
      </c>
      <c r="AI8" s="194">
        <v>2.86E-2</v>
      </c>
      <c r="AJ8" s="194">
        <v>1.4800000000000001E-2</v>
      </c>
      <c r="AK8" s="194">
        <v>6.0380102134044017E-3</v>
      </c>
      <c r="AO8" s="184" t="s">
        <v>243</v>
      </c>
      <c r="AP8" s="194">
        <v>3245.7574215420436</v>
      </c>
      <c r="AQ8" s="194">
        <v>3109.2624082628299</v>
      </c>
      <c r="AR8" s="194">
        <v>0</v>
      </c>
      <c r="AS8" s="194">
        <v>0</v>
      </c>
      <c r="AT8" s="194">
        <v>3109.2624082628299</v>
      </c>
      <c r="AU8" s="194">
        <v>249.12079371343148</v>
      </c>
      <c r="AV8" s="194">
        <v>6.9651428571428572E-3</v>
      </c>
      <c r="AW8" s="194">
        <v>8.1942857142857147E-3</v>
      </c>
      <c r="AX8" s="194">
        <v>251.73681942771719</v>
      </c>
      <c r="AY8" s="194">
        <v>0.12050571428571427</v>
      </c>
      <c r="AZ8" s="194">
        <v>2.3626857142857141</v>
      </c>
      <c r="BA8" s="194">
        <v>4.7117142857142857E-2</v>
      </c>
      <c r="BB8" s="194">
        <v>2.6031142857142857E-2</v>
      </c>
      <c r="BC8" s="194">
        <v>1.2421428571428571E-2</v>
      </c>
      <c r="BD8" s="194">
        <v>4.1230984028675774E-3</v>
      </c>
    </row>
    <row r="9" spans="1:60">
      <c r="A9" s="187"/>
      <c r="C9" s="184" t="s">
        <v>244</v>
      </c>
      <c r="D9" s="192">
        <v>632.74927705959908</v>
      </c>
      <c r="E9" s="192">
        <v>592.19963095937544</v>
      </c>
      <c r="F9" s="192">
        <v>223.40683084924885</v>
      </c>
      <c r="G9" s="192">
        <v>242.87483540154989</v>
      </c>
      <c r="H9" s="192">
        <v>125.91796470857669</v>
      </c>
      <c r="I9" s="192">
        <v>47.40363444652791</v>
      </c>
      <c r="J9" s="193">
        <v>8.2213299701751355E-2</v>
      </c>
      <c r="K9" s="193">
        <v>5.4867086955284565E-4</v>
      </c>
      <c r="L9" s="192">
        <v>49.62247085819844</v>
      </c>
      <c r="M9" s="193">
        <v>0.20637027837064206</v>
      </c>
      <c r="N9" s="193">
        <v>0.24962827450486438</v>
      </c>
      <c r="O9" s="193">
        <v>7.505494729309016E-2</v>
      </c>
      <c r="P9" s="193">
        <v>8.1869485998395594E-2</v>
      </c>
      <c r="Q9" s="193">
        <v>3.256749688005809E-2</v>
      </c>
      <c r="R9" s="193">
        <v>0.13740756474092966</v>
      </c>
      <c r="S9" s="193"/>
      <c r="T9" s="193"/>
      <c r="V9" s="184" t="s">
        <v>244</v>
      </c>
      <c r="W9" s="194">
        <v>632.74927705959908</v>
      </c>
      <c r="X9" s="194">
        <v>592.19963095937544</v>
      </c>
      <c r="Y9" s="194">
        <v>223.40683084924885</v>
      </c>
      <c r="Z9" s="194">
        <v>242.87483540154989</v>
      </c>
      <c r="AA9" s="194">
        <v>125.91796470857669</v>
      </c>
      <c r="AB9" s="194">
        <v>47.40363444652791</v>
      </c>
      <c r="AC9" s="194">
        <v>8.2213299701751355E-2</v>
      </c>
      <c r="AD9" s="194">
        <v>5.4867086955284565E-4</v>
      </c>
      <c r="AE9" s="194">
        <v>49.62247085819844</v>
      </c>
      <c r="AF9" s="194">
        <v>0.20637027837064206</v>
      </c>
      <c r="AG9" s="194">
        <v>0.24962827450486438</v>
      </c>
      <c r="AH9" s="194">
        <v>7.505494729309016E-2</v>
      </c>
      <c r="AI9" s="194">
        <v>8.1869485998395594E-2</v>
      </c>
      <c r="AJ9" s="194">
        <v>3.256749688005809E-2</v>
      </c>
      <c r="AK9" s="194">
        <v>0.13740756474092966</v>
      </c>
      <c r="AO9" s="184" t="s">
        <v>244</v>
      </c>
      <c r="AP9" s="194">
        <v>632.74927705959908</v>
      </c>
      <c r="AQ9" s="194">
        <v>592.19963095937544</v>
      </c>
      <c r="AR9" s="194">
        <v>223.40683084924885</v>
      </c>
      <c r="AS9" s="194">
        <v>242.87483540154989</v>
      </c>
      <c r="AT9" s="194">
        <v>125.91796470857669</v>
      </c>
      <c r="AU9" s="194">
        <v>47.40363444652791</v>
      </c>
      <c r="AV9" s="194">
        <v>8.2213299701751355E-2</v>
      </c>
      <c r="AW9" s="194">
        <v>5.4867086955284565E-4</v>
      </c>
      <c r="AX9" s="194">
        <v>49.62247085819844</v>
      </c>
      <c r="AY9" s="194">
        <v>0.20637027837064206</v>
      </c>
      <c r="AZ9" s="194">
        <v>0.24962827450486438</v>
      </c>
      <c r="BA9" s="194">
        <v>7.505494729309016E-2</v>
      </c>
      <c r="BB9" s="194">
        <v>8.1869485998395594E-2</v>
      </c>
      <c r="BC9" s="194">
        <v>3.256749688005809E-2</v>
      </c>
      <c r="BD9" s="194">
        <v>0.13740756474092966</v>
      </c>
    </row>
    <row r="10" spans="1:60">
      <c r="A10" s="187"/>
      <c r="B10" s="189" t="s">
        <v>2171</v>
      </c>
      <c r="C10" s="184" t="s">
        <v>23</v>
      </c>
      <c r="D10" s="192">
        <v>853.20929351846621</v>
      </c>
      <c r="E10" s="192">
        <v>835.34828750121733</v>
      </c>
      <c r="F10" s="192">
        <v>84.844474923738446</v>
      </c>
      <c r="G10" s="192">
        <v>688.56189354067976</v>
      </c>
      <c r="H10" s="192">
        <v>61.941919037573804</v>
      </c>
      <c r="I10" s="192">
        <v>50.4893546618854</v>
      </c>
      <c r="J10" s="193">
        <v>0.52885612338956867</v>
      </c>
      <c r="K10" s="193">
        <v>9.760843698427363E-4</v>
      </c>
      <c r="L10" s="192">
        <v>64.001630888837752</v>
      </c>
      <c r="M10" s="193">
        <v>2.1703516655539708E-2</v>
      </c>
      <c r="N10" s="193">
        <v>4.4424914886621848E-2</v>
      </c>
      <c r="O10" s="193">
        <v>0.1419268248458268</v>
      </c>
      <c r="P10" s="193">
        <v>2.0891185440735677E-2</v>
      </c>
      <c r="Q10" s="193">
        <v>9.4645935040204594E-3</v>
      </c>
      <c r="R10" s="193">
        <v>5.895258194948734E-2</v>
      </c>
      <c r="S10" s="193"/>
      <c r="T10" s="193"/>
      <c r="U10" s="184" t="s">
        <v>2171</v>
      </c>
      <c r="V10" s="184" t="s">
        <v>23</v>
      </c>
      <c r="W10" s="194">
        <v>913.21053115067355</v>
      </c>
      <c r="X10" s="194">
        <v>901.44613603634593</v>
      </c>
      <c r="Y10" s="194">
        <v>60.738869863061772</v>
      </c>
      <c r="Z10" s="194">
        <v>785.33148512869377</v>
      </c>
      <c r="AA10" s="194">
        <v>55.375781045166569</v>
      </c>
      <c r="AB10" s="194">
        <v>59.587183730728619</v>
      </c>
      <c r="AC10" s="194">
        <v>0.51652459286184804</v>
      </c>
      <c r="AD10" s="194">
        <v>1.0420576949966723E-3</v>
      </c>
      <c r="AE10" s="194">
        <v>72.810831745383837</v>
      </c>
      <c r="AF10" s="194">
        <v>2.0737833482696293E-2</v>
      </c>
      <c r="AG10" s="194">
        <v>3.5093567083666746E-2</v>
      </c>
      <c r="AH10" s="194">
        <v>0.11645621822433884</v>
      </c>
      <c r="AI10" s="194">
        <v>1.7287249181101302E-2</v>
      </c>
      <c r="AJ10" s="194">
        <v>9.1456151803767857E-3</v>
      </c>
      <c r="AK10" s="194">
        <v>3.5433342463535168E-2</v>
      </c>
      <c r="AN10" s="184" t="s">
        <v>2171</v>
      </c>
      <c r="AO10" s="184" t="s">
        <v>23</v>
      </c>
      <c r="AP10" s="194">
        <v>623.59233412860272</v>
      </c>
      <c r="AQ10" s="194">
        <v>615.55893289339053</v>
      </c>
      <c r="AR10" s="194">
        <v>41.475971135062181</v>
      </c>
      <c r="AS10" s="194">
        <v>536.2692141307366</v>
      </c>
      <c r="AT10" s="194">
        <v>37.813747627985173</v>
      </c>
      <c r="AU10" s="194">
        <v>40.68953403326897</v>
      </c>
      <c r="AV10" s="194">
        <v>0.3527125076970905</v>
      </c>
      <c r="AW10" s="194">
        <v>7.1157654029772757E-4</v>
      </c>
      <c r="AX10" s="194">
        <v>49.719396534704963</v>
      </c>
      <c r="AY10" s="194">
        <v>1.4160977721041183E-2</v>
      </c>
      <c r="AZ10" s="194">
        <v>2.396389295141815E-2</v>
      </c>
      <c r="BA10" s="194">
        <v>7.9522960444619942E-2</v>
      </c>
      <c r="BB10" s="194">
        <v>1.1804721583666317E-2</v>
      </c>
      <c r="BC10" s="194">
        <v>6.2451486517430049E-3</v>
      </c>
      <c r="BD10" s="194">
        <v>2.4195910996528298E-2</v>
      </c>
    </row>
    <row r="11" spans="1:60">
      <c r="A11" s="195"/>
      <c r="B11" s="196"/>
      <c r="C11" s="191" t="s">
        <v>24</v>
      </c>
      <c r="D11" s="192">
        <v>1295.1553679846872</v>
      </c>
      <c r="E11" s="192">
        <v>975.82371344541559</v>
      </c>
      <c r="F11" s="192">
        <v>177.8066663261028</v>
      </c>
      <c r="G11" s="192">
        <v>341.20684336852565</v>
      </c>
      <c r="H11" s="192">
        <v>456.8102037516569</v>
      </c>
      <c r="I11" s="192">
        <v>72.387744462161209</v>
      </c>
      <c r="J11" s="193">
        <v>8.1110750283685848E-2</v>
      </c>
      <c r="K11" s="193">
        <v>1.1040957289099713E-2</v>
      </c>
      <c r="L11" s="192">
        <v>77.705718491405065</v>
      </c>
      <c r="M11" s="193">
        <v>0.13249400587254015</v>
      </c>
      <c r="N11" s="193">
        <v>6.3607495479781104E-2</v>
      </c>
      <c r="O11" s="193">
        <v>0.169813103282625</v>
      </c>
      <c r="P11" s="193">
        <v>5.2485363674119122E-2</v>
      </c>
      <c r="Q11" s="193">
        <v>2.01554657354301E-2</v>
      </c>
      <c r="R11" s="193">
        <v>0.1142241645553017</v>
      </c>
      <c r="S11" s="193"/>
      <c r="T11" s="193"/>
      <c r="U11" s="191"/>
      <c r="V11" s="191" t="s">
        <v>24</v>
      </c>
      <c r="W11" s="193">
        <v>1176.7464785611701</v>
      </c>
      <c r="X11" s="193">
        <v>890.85618092079699</v>
      </c>
      <c r="Y11" s="193">
        <v>153.10556804599992</v>
      </c>
      <c r="Z11" s="193">
        <v>327.52563683128471</v>
      </c>
      <c r="AA11" s="193">
        <v>410.22497604413894</v>
      </c>
      <c r="AB11" s="193">
        <v>64.975160896320958</v>
      </c>
      <c r="AC11" s="193">
        <v>7.3936485061995308E-2</v>
      </c>
      <c r="AD11" s="193">
        <v>9.1474311151183239E-3</v>
      </c>
      <c r="AE11" s="193">
        <v>69.549507495176101</v>
      </c>
      <c r="AF11" s="193">
        <v>0.11815265326662129</v>
      </c>
      <c r="AG11" s="193">
        <v>4.4936047438443885E-2</v>
      </c>
      <c r="AH11" s="193">
        <v>0.11206200529267261</v>
      </c>
      <c r="AI11" s="193">
        <v>4.1075510144875843E-2</v>
      </c>
      <c r="AJ11" s="193">
        <v>1.4795565450044143E-2</v>
      </c>
      <c r="AK11" s="193">
        <v>6.3432692592210266E-2</v>
      </c>
      <c r="AL11" s="191"/>
      <c r="AM11" s="195"/>
      <c r="AN11" s="191"/>
      <c r="AO11" s="191" t="s">
        <v>24</v>
      </c>
      <c r="AP11" s="193">
        <v>803.54973821748467</v>
      </c>
      <c r="AQ11" s="193">
        <v>608.3275064002014</v>
      </c>
      <c r="AR11" s="193">
        <v>104.54923075141137</v>
      </c>
      <c r="AS11" s="193">
        <v>223.65322057907727</v>
      </c>
      <c r="AT11" s="193">
        <v>280.1250550701406</v>
      </c>
      <c r="AU11" s="193">
        <v>44.36875272634488</v>
      </c>
      <c r="AV11" s="193">
        <v>5.0488056942333936E-2</v>
      </c>
      <c r="AW11" s="193">
        <v>6.246388675752227E-3</v>
      </c>
      <c r="AX11" s="193">
        <v>47.492377975277392</v>
      </c>
      <c r="AY11" s="193">
        <v>8.0681383230635673E-2</v>
      </c>
      <c r="AZ11" s="193">
        <v>3.0684900965108824E-2</v>
      </c>
      <c r="BA11" s="193">
        <v>7.6522340756996446E-2</v>
      </c>
      <c r="BB11" s="193">
        <v>2.8048705498929502E-2</v>
      </c>
      <c r="BC11" s="193">
        <v>1.0103257550173E-2</v>
      </c>
      <c r="BD11" s="193">
        <v>4.3315467227252151E-2</v>
      </c>
    </row>
    <row r="12" spans="1:60">
      <c r="A12" s="195"/>
      <c r="B12" s="196"/>
      <c r="C12" s="191" t="s">
        <v>243</v>
      </c>
      <c r="D12" s="192">
        <v>5259.3291552764586</v>
      </c>
      <c r="E12" s="192">
        <v>5038.1566800555111</v>
      </c>
      <c r="F12" s="192">
        <v>0</v>
      </c>
      <c r="G12" s="192">
        <v>0</v>
      </c>
      <c r="H12" s="192">
        <v>5038.1566800555111</v>
      </c>
      <c r="I12" s="192">
        <v>403.63821458194917</v>
      </c>
      <c r="J12" s="193">
        <v>2.2100000000000002E-2</v>
      </c>
      <c r="K12" s="193">
        <v>1.2E-2</v>
      </c>
      <c r="L12" s="192">
        <v>407.76671458194915</v>
      </c>
      <c r="M12" s="193">
        <v>0.22699999999999998</v>
      </c>
      <c r="N12" s="193">
        <v>5.21</v>
      </c>
      <c r="O12" s="193">
        <v>0.3</v>
      </c>
      <c r="P12" s="193">
        <v>2.93E-2</v>
      </c>
      <c r="Q12" s="193">
        <v>1.54E-2</v>
      </c>
      <c r="R12" s="193">
        <v>6.6809464861280156E-3</v>
      </c>
      <c r="S12" s="193"/>
      <c r="T12" s="193"/>
      <c r="U12" s="191"/>
      <c r="V12" s="191" t="s">
        <v>243</v>
      </c>
      <c r="W12" s="193">
        <v>4753.2012449360473</v>
      </c>
      <c r="X12" s="193">
        <v>4553.3131501756925</v>
      </c>
      <c r="Y12" s="193">
        <v>0</v>
      </c>
      <c r="Z12" s="193">
        <v>0</v>
      </c>
      <c r="AA12" s="193">
        <v>4553.3131501756925</v>
      </c>
      <c r="AB12" s="193">
        <v>364.82124602385363</v>
      </c>
      <c r="AC12" s="193">
        <v>1.0200000000000001E-2</v>
      </c>
      <c r="AD12" s="193">
        <v>1.2E-2</v>
      </c>
      <c r="AE12" s="193">
        <v>368.65224602385365</v>
      </c>
      <c r="AF12" s="193">
        <v>0.15</v>
      </c>
      <c r="AG12" s="193">
        <v>3.46</v>
      </c>
      <c r="AH12" s="193">
        <v>6.9000000000000006E-2</v>
      </c>
      <c r="AI12" s="193">
        <v>2.86E-2</v>
      </c>
      <c r="AJ12" s="193">
        <v>1.4800000000000001E-2</v>
      </c>
      <c r="AK12" s="193">
        <v>6.0380102134044017E-3</v>
      </c>
      <c r="AL12" s="191"/>
      <c r="AM12" s="195"/>
      <c r="AN12" s="191"/>
      <c r="AO12" s="191" t="s">
        <v>243</v>
      </c>
      <c r="AP12" s="193">
        <v>3245.7574215420436</v>
      </c>
      <c r="AQ12" s="193">
        <v>3109.2624082628299</v>
      </c>
      <c r="AR12" s="193">
        <v>0</v>
      </c>
      <c r="AS12" s="193">
        <v>0</v>
      </c>
      <c r="AT12" s="193">
        <v>3109.2624082628299</v>
      </c>
      <c r="AU12" s="193">
        <v>249.12079371343148</v>
      </c>
      <c r="AV12" s="193">
        <v>6.9651428571428572E-3</v>
      </c>
      <c r="AW12" s="193">
        <v>8.1942857142857147E-3</v>
      </c>
      <c r="AX12" s="193">
        <v>251.73681942771719</v>
      </c>
      <c r="AY12" s="193">
        <v>0.12050571428571427</v>
      </c>
      <c r="AZ12" s="193">
        <v>2.3626857142857141</v>
      </c>
      <c r="BA12" s="193">
        <v>4.7117142857142857E-2</v>
      </c>
      <c r="BB12" s="193">
        <v>2.6031142857142857E-2</v>
      </c>
      <c r="BC12" s="193">
        <v>1.2421428571428571E-2</v>
      </c>
      <c r="BD12" s="193">
        <v>4.1230984028675774E-3</v>
      </c>
    </row>
    <row r="13" spans="1:60">
      <c r="A13" s="195"/>
      <c r="B13" s="196"/>
      <c r="C13" s="191" t="s">
        <v>244</v>
      </c>
      <c r="D13" s="192">
        <v>632.74927705959908</v>
      </c>
      <c r="E13" s="192">
        <v>592.19963095937544</v>
      </c>
      <c r="F13" s="192">
        <v>223.40683084924885</v>
      </c>
      <c r="G13" s="192">
        <v>242.87483540154989</v>
      </c>
      <c r="H13" s="192">
        <v>125.91796470857669</v>
      </c>
      <c r="I13" s="192">
        <v>47.40363444652791</v>
      </c>
      <c r="J13" s="193">
        <v>8.2213299701751355E-2</v>
      </c>
      <c r="K13" s="193">
        <v>5.4867086955284565E-4</v>
      </c>
      <c r="L13" s="192">
        <v>49.62247085819844</v>
      </c>
      <c r="M13" s="193">
        <v>0.20637027837064206</v>
      </c>
      <c r="N13" s="193">
        <v>0.24962827450486438</v>
      </c>
      <c r="O13" s="193">
        <v>7.505494729309016E-2</v>
      </c>
      <c r="P13" s="193">
        <v>8.1869485998395594E-2</v>
      </c>
      <c r="Q13" s="193">
        <v>3.256749688005809E-2</v>
      </c>
      <c r="R13" s="193">
        <v>0.13740756474092966</v>
      </c>
      <c r="S13" s="193"/>
      <c r="T13" s="193"/>
      <c r="U13" s="191"/>
      <c r="V13" s="191" t="s">
        <v>244</v>
      </c>
      <c r="W13" s="193">
        <v>632.74927705959908</v>
      </c>
      <c r="X13" s="193">
        <v>592.19963095937544</v>
      </c>
      <c r="Y13" s="193">
        <v>223.40683084924885</v>
      </c>
      <c r="Z13" s="193">
        <v>242.87483540154989</v>
      </c>
      <c r="AA13" s="193">
        <v>125.91796470857669</v>
      </c>
      <c r="AB13" s="193">
        <v>47.40363444652791</v>
      </c>
      <c r="AC13" s="193">
        <v>8.2213299701751355E-2</v>
      </c>
      <c r="AD13" s="193">
        <v>5.4867086955284565E-4</v>
      </c>
      <c r="AE13" s="193">
        <v>49.62247085819844</v>
      </c>
      <c r="AF13" s="193">
        <v>0.20637027837064206</v>
      </c>
      <c r="AG13" s="193">
        <v>0.24962827450486438</v>
      </c>
      <c r="AH13" s="193">
        <v>7.505494729309016E-2</v>
      </c>
      <c r="AI13" s="193">
        <v>8.1869485998395594E-2</v>
      </c>
      <c r="AJ13" s="193">
        <v>3.256749688005809E-2</v>
      </c>
      <c r="AK13" s="193">
        <v>0.13740756474092966</v>
      </c>
      <c r="AL13" s="191"/>
      <c r="AM13" s="195"/>
      <c r="AN13" s="191"/>
      <c r="AO13" s="191" t="s">
        <v>244</v>
      </c>
      <c r="AP13" s="193">
        <v>632.74927705959908</v>
      </c>
      <c r="AQ13" s="193">
        <v>592.19963095937544</v>
      </c>
      <c r="AR13" s="193">
        <v>223.40683084924885</v>
      </c>
      <c r="AS13" s="193">
        <v>242.87483540154989</v>
      </c>
      <c r="AT13" s="193">
        <v>125.91796470857669</v>
      </c>
      <c r="AU13" s="193">
        <v>47.40363444652791</v>
      </c>
      <c r="AV13" s="193">
        <v>8.2213299701751355E-2</v>
      </c>
      <c r="AW13" s="193">
        <v>5.4867086955284565E-4</v>
      </c>
      <c r="AX13" s="193">
        <v>49.62247085819844</v>
      </c>
      <c r="AY13" s="193">
        <v>0.20637027837064206</v>
      </c>
      <c r="AZ13" s="193">
        <v>0.24962827450486438</v>
      </c>
      <c r="BA13" s="193">
        <v>7.505494729309016E-2</v>
      </c>
      <c r="BB13" s="193">
        <v>8.1869485998395594E-2</v>
      </c>
      <c r="BC13" s="193">
        <v>3.256749688005809E-2</v>
      </c>
      <c r="BD13" s="193">
        <v>0.13740756474092966</v>
      </c>
    </row>
    <row r="14" spans="1:60">
      <c r="A14" s="195"/>
      <c r="B14" s="196" t="s">
        <v>2172</v>
      </c>
      <c r="C14" s="191" t="s">
        <v>23</v>
      </c>
      <c r="D14" s="192">
        <v>235.53678105980435</v>
      </c>
      <c r="E14" s="192">
        <v>226.96793530775898</v>
      </c>
      <c r="F14" s="192">
        <v>41.016032727436425</v>
      </c>
      <c r="G14" s="192">
        <v>121.22678937873823</v>
      </c>
      <c r="H14" s="192">
        <v>64.725113201584321</v>
      </c>
      <c r="I14" s="192">
        <v>16.880320988643049</v>
      </c>
      <c r="J14" s="193">
        <v>0.48873396244373168</v>
      </c>
      <c r="K14" s="193">
        <v>4.2053626271076373E-4</v>
      </c>
      <c r="L14" s="192">
        <v>29.223989856024147</v>
      </c>
      <c r="M14" s="193">
        <v>1.9036495873770147E-2</v>
      </c>
      <c r="N14" s="193">
        <v>4.731958647851825E-2</v>
      </c>
      <c r="O14" s="193">
        <v>0.14708558437750155</v>
      </c>
      <c r="P14" s="193">
        <v>1.1419231860504999E-2</v>
      </c>
      <c r="Q14" s="193">
        <v>5.3582979710433539E-3</v>
      </c>
      <c r="R14" s="193">
        <v>5.2751148451527813E-2</v>
      </c>
      <c r="S14" s="193"/>
      <c r="T14" s="193"/>
      <c r="U14" s="191" t="s">
        <v>2172</v>
      </c>
      <c r="V14" s="191" t="s">
        <v>23</v>
      </c>
      <c r="W14" s="193">
        <v>314.04860158046091</v>
      </c>
      <c r="X14" s="193">
        <v>306.91741230555505</v>
      </c>
      <c r="Y14" s="193">
        <v>37.035558872696065</v>
      </c>
      <c r="Z14" s="193">
        <v>212.61997476628358</v>
      </c>
      <c r="AA14" s="193">
        <v>57.261878667664988</v>
      </c>
      <c r="AB14" s="193">
        <v>13.347285007112049</v>
      </c>
      <c r="AC14" s="193">
        <v>0.44839996314932457</v>
      </c>
      <c r="AD14" s="193">
        <v>4.8035821785152633E-4</v>
      </c>
      <c r="AE14" s="193">
        <v>24.700430834764916</v>
      </c>
      <c r="AF14" s="193">
        <v>1.6847349355482148E-2</v>
      </c>
      <c r="AG14" s="193">
        <v>3.0019918794093922E-2</v>
      </c>
      <c r="AH14" s="193">
        <v>0.10518756052741626</v>
      </c>
      <c r="AI14" s="193">
        <v>9.8031985221606922E-3</v>
      </c>
      <c r="AJ14" s="193">
        <v>4.580292592650346E-3</v>
      </c>
      <c r="AK14" s="193">
        <v>3.6834396523683172E-2</v>
      </c>
      <c r="AL14" s="191"/>
      <c r="AM14" s="195"/>
      <c r="AN14" s="191" t="s">
        <v>2172</v>
      </c>
      <c r="AO14" s="191" t="s">
        <v>23</v>
      </c>
      <c r="AP14" s="193">
        <v>214.45033079351472</v>
      </c>
      <c r="AQ14" s="193">
        <v>209.58074726007902</v>
      </c>
      <c r="AR14" s="193">
        <v>25.289995915926742</v>
      </c>
      <c r="AS14" s="193">
        <v>145.18906848326222</v>
      </c>
      <c r="AT14" s="193">
        <v>39.101682861634089</v>
      </c>
      <c r="AU14" s="193">
        <v>9.1142889048565134</v>
      </c>
      <c r="AV14" s="193">
        <v>0.30619311769339591</v>
      </c>
      <c r="AW14" s="193">
        <v>3.2801604019004225E-4</v>
      </c>
      <c r="AX14" s="193">
        <v>16.866865627168043</v>
      </c>
      <c r="AY14" s="193">
        <v>1.1504332845600667E-2</v>
      </c>
      <c r="AZ14" s="193">
        <v>2.049931597653842E-2</v>
      </c>
      <c r="BA14" s="193">
        <v>7.1828077045864247E-2</v>
      </c>
      <c r="BB14" s="193">
        <v>6.6941841337040155E-3</v>
      </c>
      <c r="BC14" s="193">
        <v>3.1276855132669505E-3</v>
      </c>
      <c r="BD14" s="193">
        <v>2.5152630769029363E-2</v>
      </c>
    </row>
    <row r="15" spans="1:60">
      <c r="A15" s="195"/>
      <c r="B15" s="196"/>
      <c r="C15" s="191" t="s">
        <v>24</v>
      </c>
      <c r="D15" s="192">
        <v>1006.9577051126213</v>
      </c>
      <c r="E15" s="192">
        <v>886.26874827129279</v>
      </c>
      <c r="F15" s="192">
        <v>161.35762500010168</v>
      </c>
      <c r="G15" s="192">
        <v>277.59444221256541</v>
      </c>
      <c r="H15" s="192">
        <v>447.31668105862576</v>
      </c>
      <c r="I15" s="192">
        <v>67.97534451293393</v>
      </c>
      <c r="J15" s="193">
        <v>7.5144679916268858E-2</v>
      </c>
      <c r="K15" s="193">
        <v>4.566827557287538E-3</v>
      </c>
      <c r="L15" s="192">
        <v>71.214876122912344</v>
      </c>
      <c r="M15" s="193">
        <v>0.12718409883600471</v>
      </c>
      <c r="N15" s="193">
        <v>5.0700457888819744E-2</v>
      </c>
      <c r="O15" s="193">
        <v>0.14165590689389404</v>
      </c>
      <c r="P15" s="193">
        <v>4.6816261205633397E-2</v>
      </c>
      <c r="Q15" s="193">
        <v>1.8061601270764782E-2</v>
      </c>
      <c r="R15" s="193">
        <v>0.10398617021770878</v>
      </c>
      <c r="S15" s="193"/>
      <c r="T15" s="193"/>
      <c r="U15" s="191"/>
      <c r="V15" s="191" t="s">
        <v>24</v>
      </c>
      <c r="W15" s="193">
        <v>1125.4235337019043</v>
      </c>
      <c r="X15" s="193">
        <v>839.93004405693557</v>
      </c>
      <c r="Y15" s="193">
        <v>151.06710753473754</v>
      </c>
      <c r="Z15" s="193">
        <v>278.48492278995394</v>
      </c>
      <c r="AA15" s="193">
        <v>410.37801373396934</v>
      </c>
      <c r="AB15" s="193">
        <v>64.28957740872282</v>
      </c>
      <c r="AC15" s="193">
        <v>7.2949095511657111E-2</v>
      </c>
      <c r="AD15" s="193">
        <v>9.1390912738035356E-3</v>
      </c>
      <c r="AE15" s="193">
        <v>68.836753996107703</v>
      </c>
      <c r="AF15" s="193">
        <v>0.11809547167533305</v>
      </c>
      <c r="AG15" s="193">
        <v>4.4860622462851496E-2</v>
      </c>
      <c r="AH15" s="193">
        <v>0.11189443102180129</v>
      </c>
      <c r="AI15" s="193">
        <v>4.0964395602413058E-2</v>
      </c>
      <c r="AJ15" s="193">
        <v>1.4727784317695388E-2</v>
      </c>
      <c r="AK15" s="193">
        <v>6.3453267290712947E-2</v>
      </c>
      <c r="AL15" s="191"/>
      <c r="AM15" s="195"/>
      <c r="AN15" s="191"/>
      <c r="AO15" s="191" t="s">
        <v>24</v>
      </c>
      <c r="AP15" s="193">
        <v>768.50349872787172</v>
      </c>
      <c r="AQ15" s="193">
        <v>573.55223008459313</v>
      </c>
      <c r="AR15" s="193">
        <v>103.15725343086363</v>
      </c>
      <c r="AS15" s="193">
        <v>190.16541870513996</v>
      </c>
      <c r="AT15" s="193">
        <v>280.22955794976764</v>
      </c>
      <c r="AU15" s="193">
        <v>43.900597144813581</v>
      </c>
      <c r="AV15" s="193">
        <v>4.9813810935102995E-2</v>
      </c>
      <c r="AW15" s="193">
        <v>6.2406937555401281E-3</v>
      </c>
      <c r="AX15" s="193">
        <v>47.005669157342112</v>
      </c>
      <c r="AY15" s="193">
        <v>8.0642336372584569E-2</v>
      </c>
      <c r="AZ15" s="193">
        <v>3.0633396481775734E-2</v>
      </c>
      <c r="BA15" s="193">
        <v>7.6407911469172876E-2</v>
      </c>
      <c r="BB15" s="193">
        <v>2.7972830139933486E-2</v>
      </c>
      <c r="BC15" s="193">
        <v>1.0056972719797707E-2</v>
      </c>
      <c r="BD15" s="193">
        <v>4.332951680708684E-2</v>
      </c>
    </row>
    <row r="16" spans="1:60">
      <c r="A16" s="195"/>
      <c r="B16" s="196"/>
      <c r="C16" s="191" t="s">
        <v>243</v>
      </c>
      <c r="D16" s="192">
        <v>5334.2142784208345</v>
      </c>
      <c r="E16" s="192">
        <v>5256.8039120935027</v>
      </c>
      <c r="F16" s="192">
        <v>0</v>
      </c>
      <c r="G16" s="192">
        <v>0</v>
      </c>
      <c r="H16" s="192">
        <v>5256.8039120935027</v>
      </c>
      <c r="I16" s="192">
        <v>409.66749095244768</v>
      </c>
      <c r="J16" s="193">
        <v>2.2100000000000002E-2</v>
      </c>
      <c r="K16" s="193">
        <v>1.2E-2</v>
      </c>
      <c r="L16" s="192">
        <v>413.79599095244765</v>
      </c>
      <c r="M16" s="193">
        <v>0.22699999999999998</v>
      </c>
      <c r="N16" s="193">
        <v>5.21</v>
      </c>
      <c r="O16" s="193">
        <v>0.3</v>
      </c>
      <c r="P16" s="197">
        <v>2.93E-2</v>
      </c>
      <c r="Q16" s="197">
        <v>1.54E-2</v>
      </c>
      <c r="R16" s="193">
        <v>6.6647132145892501E-3</v>
      </c>
      <c r="S16" s="193"/>
      <c r="T16" s="193"/>
      <c r="U16" s="191"/>
      <c r="V16" s="191" t="s">
        <v>243</v>
      </c>
      <c r="W16" s="193">
        <v>4753.2012449360473</v>
      </c>
      <c r="X16" s="193">
        <v>4553.3131501756925</v>
      </c>
      <c r="Y16" s="193">
        <v>0</v>
      </c>
      <c r="Z16" s="193">
        <v>0</v>
      </c>
      <c r="AA16" s="193">
        <v>4553.3131501756925</v>
      </c>
      <c r="AB16" s="193">
        <v>364.82124602385363</v>
      </c>
      <c r="AC16" s="193">
        <v>1.0200000000000001E-2</v>
      </c>
      <c r="AD16" s="193">
        <v>1.2E-2</v>
      </c>
      <c r="AE16" s="193">
        <v>368.65224602385365</v>
      </c>
      <c r="AF16" s="193">
        <v>0.15</v>
      </c>
      <c r="AG16" s="193">
        <v>3.46</v>
      </c>
      <c r="AH16" s="193">
        <v>6.9000000000000006E-2</v>
      </c>
      <c r="AI16" s="193">
        <v>2.86E-2</v>
      </c>
      <c r="AJ16" s="193">
        <v>1.4800000000000001E-2</v>
      </c>
      <c r="AK16" s="193">
        <v>6.0380102134044017E-3</v>
      </c>
      <c r="AL16" s="191"/>
      <c r="AM16" s="195"/>
      <c r="AN16" s="191"/>
      <c r="AO16" s="191" t="s">
        <v>243</v>
      </c>
      <c r="AP16" s="193">
        <v>3245.7574215420436</v>
      </c>
      <c r="AQ16" s="193">
        <v>3109.2624082628299</v>
      </c>
      <c r="AR16" s="193">
        <v>0</v>
      </c>
      <c r="AS16" s="193">
        <v>0</v>
      </c>
      <c r="AT16" s="193">
        <v>3109.2624082628299</v>
      </c>
      <c r="AU16" s="193">
        <v>249.12079371343148</v>
      </c>
      <c r="AV16" s="193">
        <v>6.9651428571428572E-3</v>
      </c>
      <c r="AW16" s="193">
        <v>8.1942857142857147E-3</v>
      </c>
      <c r="AX16" s="193">
        <v>251.73681942771719</v>
      </c>
      <c r="AY16" s="193">
        <v>0.12050571428571427</v>
      </c>
      <c r="AZ16" s="193">
        <v>2.3626857142857141</v>
      </c>
      <c r="BA16" s="193">
        <v>4.7117142857142857E-2</v>
      </c>
      <c r="BB16" s="193">
        <v>2.6031142857142857E-2</v>
      </c>
      <c r="BC16" s="193">
        <v>1.2421428571428571E-2</v>
      </c>
      <c r="BD16" s="193">
        <v>4.1230984028675774E-3</v>
      </c>
    </row>
    <row r="17" spans="1:56">
      <c r="A17" s="195"/>
      <c r="B17" s="196"/>
      <c r="C17" s="191" t="s">
        <v>244</v>
      </c>
      <c r="D17" s="192">
        <v>632.74927705959908</v>
      </c>
      <c r="E17" s="192">
        <v>592.19963095937544</v>
      </c>
      <c r="F17" s="192">
        <v>223.40683084924885</v>
      </c>
      <c r="G17" s="192">
        <v>242.87483540154989</v>
      </c>
      <c r="H17" s="192">
        <v>125.91796470857669</v>
      </c>
      <c r="I17" s="192">
        <v>47.40363444652791</v>
      </c>
      <c r="J17" s="193">
        <v>8.2213299701751355E-2</v>
      </c>
      <c r="K17" s="193">
        <v>5.4867086955284565E-4</v>
      </c>
      <c r="L17" s="192">
        <v>49.62247085819844</v>
      </c>
      <c r="M17" s="193">
        <v>0.20637027837064206</v>
      </c>
      <c r="N17" s="193">
        <v>0.24962827450486438</v>
      </c>
      <c r="O17" s="193">
        <v>7.505494729309016E-2</v>
      </c>
      <c r="P17" s="193">
        <v>8.1869485998395594E-2</v>
      </c>
      <c r="Q17" s="193">
        <v>3.256749688005809E-2</v>
      </c>
      <c r="R17" s="193">
        <v>0.13740756474092966</v>
      </c>
      <c r="S17" s="193"/>
      <c r="T17" s="193"/>
      <c r="U17" s="191"/>
      <c r="V17" s="191" t="s">
        <v>244</v>
      </c>
      <c r="W17" s="193">
        <v>632.74927705959908</v>
      </c>
      <c r="X17" s="193">
        <v>592.19963095937544</v>
      </c>
      <c r="Y17" s="193">
        <v>223.40683084924885</v>
      </c>
      <c r="Z17" s="193">
        <v>242.87483540154989</v>
      </c>
      <c r="AA17" s="193">
        <v>125.91796470857669</v>
      </c>
      <c r="AB17" s="193">
        <v>47.40363444652791</v>
      </c>
      <c r="AC17" s="193">
        <v>8.2213299701751355E-2</v>
      </c>
      <c r="AD17" s="193">
        <v>5.4867086955284565E-4</v>
      </c>
      <c r="AE17" s="193">
        <v>49.62247085819844</v>
      </c>
      <c r="AF17" s="193">
        <v>0.20637027837064206</v>
      </c>
      <c r="AG17" s="193">
        <v>0.24962827450486438</v>
      </c>
      <c r="AH17" s="193">
        <v>7.505494729309016E-2</v>
      </c>
      <c r="AI17" s="193">
        <v>8.1869485998395594E-2</v>
      </c>
      <c r="AJ17" s="193">
        <v>3.256749688005809E-2</v>
      </c>
      <c r="AK17" s="193">
        <v>0.13740756474092966</v>
      </c>
      <c r="AL17" s="191"/>
      <c r="AM17" s="195"/>
      <c r="AN17" s="191"/>
      <c r="AO17" s="191" t="s">
        <v>244</v>
      </c>
      <c r="AP17" s="193">
        <v>632.74927705959908</v>
      </c>
      <c r="AQ17" s="193">
        <v>592.19963095937544</v>
      </c>
      <c r="AR17" s="193">
        <v>223.40683084924885</v>
      </c>
      <c r="AS17" s="193">
        <v>242.87483540154989</v>
      </c>
      <c r="AT17" s="193">
        <v>125.91796470857669</v>
      </c>
      <c r="AU17" s="193">
        <v>47.40363444652791</v>
      </c>
      <c r="AV17" s="193">
        <v>8.2213299701751355E-2</v>
      </c>
      <c r="AW17" s="193">
        <v>5.4867086955284565E-4</v>
      </c>
      <c r="AX17" s="193">
        <v>49.62247085819844</v>
      </c>
      <c r="AY17" s="193">
        <v>0.20637027837064206</v>
      </c>
      <c r="AZ17" s="193">
        <v>0.24962827450486438</v>
      </c>
      <c r="BA17" s="193">
        <v>7.505494729309016E-2</v>
      </c>
      <c r="BB17" s="193">
        <v>8.1869485998395594E-2</v>
      </c>
      <c r="BC17" s="193">
        <v>3.256749688005809E-2</v>
      </c>
      <c r="BD17" s="193">
        <v>0.13740756474092966</v>
      </c>
    </row>
    <row r="18" spans="1:56">
      <c r="A18" s="195"/>
      <c r="B18" s="196" t="s">
        <v>2173</v>
      </c>
      <c r="C18" s="191" t="s">
        <v>23</v>
      </c>
      <c r="D18" s="192">
        <v>865.36921118129658</v>
      </c>
      <c r="E18" s="192">
        <v>847.2536505502253</v>
      </c>
      <c r="F18" s="192">
        <v>86.053676272281308</v>
      </c>
      <c r="G18" s="192">
        <v>698.37526054699219</v>
      </c>
      <c r="H18" s="192">
        <v>62.82471372940924</v>
      </c>
      <c r="I18" s="192">
        <v>62.216491127289736</v>
      </c>
      <c r="J18" s="193">
        <v>0.53639336772329471</v>
      </c>
      <c r="K18" s="193">
        <v>9.8999550003947578E-4</v>
      </c>
      <c r="L18" s="192">
        <v>75.921343979383863</v>
      </c>
      <c r="M18" s="193">
        <v>2.2012834635829495E-2</v>
      </c>
      <c r="N18" s="193">
        <v>4.5058057670023827E-2</v>
      </c>
      <c r="O18" s="193">
        <v>0.1439495624275054</v>
      </c>
      <c r="P18" s="193">
        <v>2.1188926096652377E-2</v>
      </c>
      <c r="Q18" s="193">
        <v>9.5994826555549275E-3</v>
      </c>
      <c r="R18" s="193">
        <v>5.9792772682037885E-2</v>
      </c>
      <c r="S18" s="193"/>
      <c r="T18" s="193"/>
      <c r="U18" s="191" t="s">
        <v>2173</v>
      </c>
      <c r="V18" s="191" t="s">
        <v>23</v>
      </c>
      <c r="W18" s="193">
        <v>913.21053115067355</v>
      </c>
      <c r="X18" s="193">
        <v>901.44613603634593</v>
      </c>
      <c r="Y18" s="193">
        <v>60.738869863061772</v>
      </c>
      <c r="Z18" s="193">
        <v>785.33148512869377</v>
      </c>
      <c r="AA18" s="193">
        <v>55.375781045166569</v>
      </c>
      <c r="AB18" s="193">
        <v>59.587183730728619</v>
      </c>
      <c r="AC18" s="193">
        <v>0.51652459286184804</v>
      </c>
      <c r="AD18" s="193">
        <v>1.0420576949966723E-3</v>
      </c>
      <c r="AE18" s="193">
        <v>72.810831745383837</v>
      </c>
      <c r="AF18" s="193">
        <v>2.0737833482696293E-2</v>
      </c>
      <c r="AG18" s="193">
        <v>3.5093567083666746E-2</v>
      </c>
      <c r="AH18" s="193">
        <v>0.11645621822433884</v>
      </c>
      <c r="AI18" s="193">
        <v>1.7287249181101302E-2</v>
      </c>
      <c r="AJ18" s="193">
        <v>9.1456151803767857E-3</v>
      </c>
      <c r="AK18" s="193">
        <v>3.5433342463535168E-2</v>
      </c>
      <c r="AL18" s="191"/>
      <c r="AM18" s="195"/>
      <c r="AN18" s="191" t="s">
        <v>2173</v>
      </c>
      <c r="AO18" s="191" t="s">
        <v>23</v>
      </c>
      <c r="AP18" s="193">
        <v>623.59233412860272</v>
      </c>
      <c r="AQ18" s="193">
        <v>615.55893289339053</v>
      </c>
      <c r="AR18" s="193">
        <v>41.475971135062181</v>
      </c>
      <c r="AS18" s="193">
        <v>536.2692141307366</v>
      </c>
      <c r="AT18" s="193">
        <v>37.813747627985173</v>
      </c>
      <c r="AU18" s="193">
        <v>40.68953403326897</v>
      </c>
      <c r="AV18" s="193">
        <v>0.3527125076970905</v>
      </c>
      <c r="AW18" s="193">
        <v>7.1157654029772757E-4</v>
      </c>
      <c r="AX18" s="193">
        <v>49.719396534704963</v>
      </c>
      <c r="AY18" s="193">
        <v>1.4160977721041183E-2</v>
      </c>
      <c r="AZ18" s="193">
        <v>2.396389295141815E-2</v>
      </c>
      <c r="BA18" s="193">
        <v>7.9522960444619942E-2</v>
      </c>
      <c r="BB18" s="193">
        <v>1.1804721583666317E-2</v>
      </c>
      <c r="BC18" s="193">
        <v>6.2451486517430049E-3</v>
      </c>
      <c r="BD18" s="193">
        <v>2.4195910996528298E-2</v>
      </c>
    </row>
    <row r="19" spans="1:56">
      <c r="A19" s="195"/>
      <c r="B19" s="196"/>
      <c r="C19" s="191" t="s">
        <v>24</v>
      </c>
      <c r="D19" s="192">
        <v>1058.9249410041896</v>
      </c>
      <c r="E19" s="192">
        <v>937.44840894280355</v>
      </c>
      <c r="F19" s="192">
        <v>165.08115610745219</v>
      </c>
      <c r="G19" s="192">
        <v>325.19923000963638</v>
      </c>
      <c r="H19" s="192">
        <v>447.16802282453932</v>
      </c>
      <c r="I19" s="192">
        <v>68.379534123595036</v>
      </c>
      <c r="J19" s="193">
        <v>7.56964201037304E-2</v>
      </c>
      <c r="K19" s="193">
        <v>4.5736092299783464E-3</v>
      </c>
      <c r="L19" s="192">
        <v>71.63488017672185</v>
      </c>
      <c r="M19" s="193">
        <v>0.12721912273976499</v>
      </c>
      <c r="N19" s="193">
        <v>5.0673658025536042E-2</v>
      </c>
      <c r="O19" s="193">
        <v>0.14161884576933056</v>
      </c>
      <c r="P19" s="193">
        <v>4.6932604670849122E-2</v>
      </c>
      <c r="Q19" s="193">
        <v>1.8112109839354809E-2</v>
      </c>
      <c r="R19" s="193">
        <v>0.10406901653426288</v>
      </c>
      <c r="S19" s="193"/>
      <c r="T19" s="193"/>
      <c r="U19" s="191"/>
      <c r="V19" s="191" t="s">
        <v>24</v>
      </c>
      <c r="W19" s="193">
        <v>1176.7464785611701</v>
      </c>
      <c r="X19" s="193">
        <v>890.85618092079699</v>
      </c>
      <c r="Y19" s="193">
        <v>153.10556804599992</v>
      </c>
      <c r="Z19" s="193">
        <v>327.52563683128471</v>
      </c>
      <c r="AA19" s="193">
        <v>410.22497604413894</v>
      </c>
      <c r="AB19" s="193">
        <v>64.975160896320958</v>
      </c>
      <c r="AC19" s="193">
        <v>7.3936485061995308E-2</v>
      </c>
      <c r="AD19" s="193">
        <v>9.1474311151183239E-3</v>
      </c>
      <c r="AE19" s="193">
        <v>69.549507495176101</v>
      </c>
      <c r="AF19" s="193">
        <v>0.11815265326662129</v>
      </c>
      <c r="AG19" s="193">
        <v>4.4936047438443885E-2</v>
      </c>
      <c r="AH19" s="193">
        <v>0.11206200529267261</v>
      </c>
      <c r="AI19" s="193">
        <v>4.1075510144875843E-2</v>
      </c>
      <c r="AJ19" s="193">
        <v>1.4795565450044143E-2</v>
      </c>
      <c r="AK19" s="193">
        <v>6.3432692592210266E-2</v>
      </c>
      <c r="AL19" s="191"/>
      <c r="AM19" s="195"/>
      <c r="AN19" s="191"/>
      <c r="AO19" s="191" t="s">
        <v>24</v>
      </c>
      <c r="AP19" s="193">
        <v>803.54973821748467</v>
      </c>
      <c r="AQ19" s="193">
        <v>608.3275064002014</v>
      </c>
      <c r="AR19" s="193">
        <v>104.54923075141137</v>
      </c>
      <c r="AS19" s="193">
        <v>223.65322057907727</v>
      </c>
      <c r="AT19" s="193">
        <v>280.1250550701406</v>
      </c>
      <c r="AU19" s="193">
        <v>44.36875272634488</v>
      </c>
      <c r="AV19" s="193">
        <v>5.0488056942333936E-2</v>
      </c>
      <c r="AW19" s="193">
        <v>6.246388675752227E-3</v>
      </c>
      <c r="AX19" s="193">
        <v>47.492377975277392</v>
      </c>
      <c r="AY19" s="193">
        <v>8.0681383230635673E-2</v>
      </c>
      <c r="AZ19" s="193">
        <v>3.0684900965108824E-2</v>
      </c>
      <c r="BA19" s="193">
        <v>7.6522340756996446E-2</v>
      </c>
      <c r="BB19" s="193">
        <v>2.8048705498929502E-2</v>
      </c>
      <c r="BC19" s="193">
        <v>1.0103257550173E-2</v>
      </c>
      <c r="BD19" s="193">
        <v>4.3315467227252151E-2</v>
      </c>
    </row>
    <row r="20" spans="1:56">
      <c r="A20" s="195"/>
      <c r="B20" s="196"/>
      <c r="C20" s="191" t="s">
        <v>243</v>
      </c>
      <c r="D20" s="192">
        <v>5334.2142784208345</v>
      </c>
      <c r="E20" s="192">
        <v>5256.8039120935027</v>
      </c>
      <c r="F20" s="192">
        <v>0</v>
      </c>
      <c r="G20" s="192">
        <v>0</v>
      </c>
      <c r="H20" s="192">
        <v>5256.8039120935027</v>
      </c>
      <c r="I20" s="192">
        <v>409.66749095244768</v>
      </c>
      <c r="J20" s="193">
        <v>2.2100000000000002E-2</v>
      </c>
      <c r="K20" s="193">
        <v>1.2E-2</v>
      </c>
      <c r="L20" s="192">
        <v>413.79599095244765</v>
      </c>
      <c r="M20" s="193">
        <v>0.22699999999999998</v>
      </c>
      <c r="N20" s="193">
        <v>5.21</v>
      </c>
      <c r="O20" s="193">
        <v>0.3</v>
      </c>
      <c r="P20" s="193">
        <v>2.93E-2</v>
      </c>
      <c r="Q20" s="193">
        <v>1.54E-2</v>
      </c>
      <c r="R20" s="193">
        <v>6.6647132145892501E-3</v>
      </c>
      <c r="S20" s="193"/>
      <c r="T20" s="193"/>
      <c r="U20" s="191"/>
      <c r="V20" s="191" t="s">
        <v>243</v>
      </c>
      <c r="W20" s="193">
        <v>4753.2012449360473</v>
      </c>
      <c r="X20" s="193">
        <v>4553.3131501756925</v>
      </c>
      <c r="Y20" s="193">
        <v>0</v>
      </c>
      <c r="Z20" s="193">
        <v>0</v>
      </c>
      <c r="AA20" s="193">
        <v>4553.3131501756925</v>
      </c>
      <c r="AB20" s="193">
        <v>364.82124602385363</v>
      </c>
      <c r="AC20" s="193">
        <v>1.0200000000000001E-2</v>
      </c>
      <c r="AD20" s="193">
        <v>1.2E-2</v>
      </c>
      <c r="AE20" s="193">
        <v>368.65224602385365</v>
      </c>
      <c r="AF20" s="193">
        <v>0.15</v>
      </c>
      <c r="AG20" s="193">
        <v>3.46</v>
      </c>
      <c r="AH20" s="193">
        <v>6.9000000000000006E-2</v>
      </c>
      <c r="AI20" s="193">
        <v>2.86E-2</v>
      </c>
      <c r="AJ20" s="193">
        <v>1.4800000000000001E-2</v>
      </c>
      <c r="AK20" s="193">
        <v>6.0380102134044017E-3</v>
      </c>
      <c r="AL20" s="191"/>
      <c r="AM20" s="195"/>
      <c r="AN20" s="191"/>
      <c r="AO20" s="191" t="s">
        <v>243</v>
      </c>
      <c r="AP20" s="193">
        <v>3245.7574215420436</v>
      </c>
      <c r="AQ20" s="193">
        <v>3109.2624082628299</v>
      </c>
      <c r="AR20" s="193">
        <v>0</v>
      </c>
      <c r="AS20" s="193">
        <v>0</v>
      </c>
      <c r="AT20" s="193">
        <v>3109.2624082628299</v>
      </c>
      <c r="AU20" s="193">
        <v>249.12079371343148</v>
      </c>
      <c r="AV20" s="193">
        <v>6.9651428571428572E-3</v>
      </c>
      <c r="AW20" s="193">
        <v>8.1942857142857147E-3</v>
      </c>
      <c r="AX20" s="193">
        <v>251.73681942771719</v>
      </c>
      <c r="AY20" s="193">
        <v>0.12050571428571427</v>
      </c>
      <c r="AZ20" s="193">
        <v>2.3626857142857141</v>
      </c>
      <c r="BA20" s="193">
        <v>4.7117142857142857E-2</v>
      </c>
      <c r="BB20" s="193">
        <v>2.6031142857142857E-2</v>
      </c>
      <c r="BC20" s="193">
        <v>1.2421428571428571E-2</v>
      </c>
      <c r="BD20" s="193">
        <v>4.1230984028675774E-3</v>
      </c>
    </row>
    <row r="21" spans="1:56">
      <c r="A21" s="195"/>
      <c r="B21" s="196"/>
      <c r="C21" s="191" t="s">
        <v>244</v>
      </c>
      <c r="D21" s="192">
        <v>632.74927705959908</v>
      </c>
      <c r="E21" s="192">
        <v>592.19963095937544</v>
      </c>
      <c r="F21" s="192">
        <v>223.40683084924885</v>
      </c>
      <c r="G21" s="192">
        <v>242.87483540154989</v>
      </c>
      <c r="H21" s="192">
        <v>125.91796470857669</v>
      </c>
      <c r="I21" s="192">
        <v>47.40363444652791</v>
      </c>
      <c r="J21" s="193">
        <v>8.2213299701751355E-2</v>
      </c>
      <c r="K21" s="193">
        <v>5.4867086955284565E-4</v>
      </c>
      <c r="L21" s="192">
        <v>49.62247085819844</v>
      </c>
      <c r="M21" s="193">
        <v>0.20637027837064206</v>
      </c>
      <c r="N21" s="193">
        <v>0.24962827450486438</v>
      </c>
      <c r="O21" s="193">
        <v>7.505494729309016E-2</v>
      </c>
      <c r="P21" s="193">
        <v>8.1869485998395594E-2</v>
      </c>
      <c r="Q21" s="193">
        <v>3.256749688005809E-2</v>
      </c>
      <c r="R21" s="193">
        <v>0.13740756474092966</v>
      </c>
      <c r="S21" s="193"/>
      <c r="T21" s="193"/>
      <c r="U21" s="191"/>
      <c r="V21" s="191" t="s">
        <v>244</v>
      </c>
      <c r="W21" s="193">
        <v>632.74927705959908</v>
      </c>
      <c r="X21" s="193">
        <v>592.19963095937544</v>
      </c>
      <c r="Y21" s="193">
        <v>223.40683084924885</v>
      </c>
      <c r="Z21" s="193">
        <v>242.87483540154989</v>
      </c>
      <c r="AA21" s="193">
        <v>125.91796470857669</v>
      </c>
      <c r="AB21" s="193">
        <v>47.40363444652791</v>
      </c>
      <c r="AC21" s="193">
        <v>8.2213299701751355E-2</v>
      </c>
      <c r="AD21" s="193">
        <v>5.4867086955284565E-4</v>
      </c>
      <c r="AE21" s="193">
        <v>49.62247085819844</v>
      </c>
      <c r="AF21" s="193">
        <v>0.20637027837064206</v>
      </c>
      <c r="AG21" s="193">
        <v>0.24962827450486438</v>
      </c>
      <c r="AH21" s="193">
        <v>7.505494729309016E-2</v>
      </c>
      <c r="AI21" s="193">
        <v>8.1869485998395594E-2</v>
      </c>
      <c r="AJ21" s="193">
        <v>3.256749688005809E-2</v>
      </c>
      <c r="AK21" s="193">
        <v>0.13740756474092966</v>
      </c>
      <c r="AL21" s="191"/>
      <c r="AM21" s="195"/>
      <c r="AN21" s="191"/>
      <c r="AO21" s="191" t="s">
        <v>244</v>
      </c>
      <c r="AP21" s="193">
        <v>632.74927705959908</v>
      </c>
      <c r="AQ21" s="193">
        <v>592.19963095937544</v>
      </c>
      <c r="AR21" s="193">
        <v>223.40683084924885</v>
      </c>
      <c r="AS21" s="193">
        <v>242.87483540154989</v>
      </c>
      <c r="AT21" s="193">
        <v>125.91796470857669</v>
      </c>
      <c r="AU21" s="193">
        <v>47.40363444652791</v>
      </c>
      <c r="AV21" s="193">
        <v>8.2213299701751355E-2</v>
      </c>
      <c r="AW21" s="193">
        <v>5.4867086955284565E-4</v>
      </c>
      <c r="AX21" s="193">
        <v>49.62247085819844</v>
      </c>
      <c r="AY21" s="193">
        <v>0.20637027837064206</v>
      </c>
      <c r="AZ21" s="193">
        <v>0.24962827450486438</v>
      </c>
      <c r="BA21" s="193">
        <v>7.505494729309016E-2</v>
      </c>
      <c r="BB21" s="193">
        <v>8.1869485998395594E-2</v>
      </c>
      <c r="BC21" s="193">
        <v>3.256749688005809E-2</v>
      </c>
      <c r="BD21" s="193">
        <v>0.13740756474092966</v>
      </c>
    </row>
    <row r="22" spans="1:56">
      <c r="A22" s="195"/>
      <c r="B22" s="196" t="s">
        <v>2174</v>
      </c>
      <c r="C22" s="191" t="s">
        <v>23</v>
      </c>
      <c r="D22" s="192">
        <v>201.9365968648481</v>
      </c>
      <c r="E22" s="192">
        <v>194.59012833279482</v>
      </c>
      <c r="F22" s="192">
        <v>35.164945485428603</v>
      </c>
      <c r="G22" s="192">
        <v>103.93334402356231</v>
      </c>
      <c r="H22" s="192">
        <v>55.491838823432076</v>
      </c>
      <c r="I22" s="192">
        <v>5.0349871851705998</v>
      </c>
      <c r="J22" s="193">
        <v>0.4190142732848075</v>
      </c>
      <c r="K22" s="193">
        <v>3.6054522511391523E-4</v>
      </c>
      <c r="L22" s="192">
        <v>15.617786494374734</v>
      </c>
      <c r="M22" s="193">
        <v>1.6320870038478767E-2</v>
      </c>
      <c r="N22" s="193">
        <v>4.0569274214641723E-2</v>
      </c>
      <c r="O22" s="193">
        <v>0.12610328723666669</v>
      </c>
      <c r="P22" s="193">
        <v>9.7902366259801591E-3</v>
      </c>
      <c r="Q22" s="193">
        <v>4.5939171469554733E-3</v>
      </c>
      <c r="R22" s="193">
        <v>4.5225568209466389E-2</v>
      </c>
      <c r="S22" s="193"/>
      <c r="T22" s="193"/>
      <c r="U22" s="191" t="s">
        <v>2174</v>
      </c>
      <c r="V22" s="191" t="s">
        <v>23</v>
      </c>
      <c r="W22" s="193">
        <v>273.08574050474863</v>
      </c>
      <c r="X22" s="193">
        <v>266.88470635265656</v>
      </c>
      <c r="Y22" s="193">
        <v>32.204833802344403</v>
      </c>
      <c r="Z22" s="193">
        <v>184.88693457937703</v>
      </c>
      <c r="AA22" s="193">
        <v>49.792937971882594</v>
      </c>
      <c r="AB22" s="193">
        <v>11.60633478879309</v>
      </c>
      <c r="AC22" s="193">
        <v>0.38991301143419527</v>
      </c>
      <c r="AD22" s="193">
        <v>4.1770279813176201E-4</v>
      </c>
      <c r="AE22" s="193">
        <v>21.478635508491237</v>
      </c>
      <c r="AF22" s="193">
        <v>1.4649869004767085E-2</v>
      </c>
      <c r="AG22" s="193">
        <v>2.6104277212255583E-2</v>
      </c>
      <c r="AH22" s="193">
        <v>9.1467443936883705E-2</v>
      </c>
      <c r="AI22" s="193">
        <v>8.5245204540527753E-3</v>
      </c>
      <c r="AJ22" s="193">
        <v>3.9828631240437793E-3</v>
      </c>
      <c r="AK22" s="193">
        <v>3.2029910020593362E-2</v>
      </c>
      <c r="AL22" s="191"/>
      <c r="AM22" s="195"/>
      <c r="AN22" s="191" t="s">
        <v>2174</v>
      </c>
      <c r="AO22" s="191" t="s">
        <v>23</v>
      </c>
      <c r="AP22" s="193">
        <v>214.45033079351469</v>
      </c>
      <c r="AQ22" s="193">
        <v>209.58074726007899</v>
      </c>
      <c r="AR22" s="193">
        <v>25.289995915926735</v>
      </c>
      <c r="AS22" s="193">
        <v>145.18906848326219</v>
      </c>
      <c r="AT22" s="193">
        <v>39.101682861634082</v>
      </c>
      <c r="AU22" s="193">
        <v>9.1142889048565152</v>
      </c>
      <c r="AV22" s="193">
        <v>0.30619311769339586</v>
      </c>
      <c r="AW22" s="193">
        <v>3.280160401900422E-4</v>
      </c>
      <c r="AX22" s="193">
        <v>16.866865627168043</v>
      </c>
      <c r="AY22" s="193">
        <v>1.1504332845600665E-2</v>
      </c>
      <c r="AZ22" s="193">
        <v>2.0499315976538417E-2</v>
      </c>
      <c r="BA22" s="193">
        <v>7.1828077045864233E-2</v>
      </c>
      <c r="BB22" s="193">
        <v>6.6941841337040137E-3</v>
      </c>
      <c r="BC22" s="193">
        <v>3.12768551326695E-3</v>
      </c>
      <c r="BD22" s="193">
        <v>2.5152630769028812E-2</v>
      </c>
    </row>
    <row r="23" spans="1:56">
      <c r="A23" s="195"/>
      <c r="B23" s="196"/>
      <c r="C23" s="191" t="s">
        <v>24</v>
      </c>
      <c r="D23" s="192">
        <v>1079.5256143568863</v>
      </c>
      <c r="E23" s="192">
        <v>802.55360723148544</v>
      </c>
      <c r="F23" s="192">
        <v>151.26845885936822</v>
      </c>
      <c r="G23" s="192">
        <v>253.92548693810363</v>
      </c>
      <c r="H23" s="192">
        <v>397.35966143327585</v>
      </c>
      <c r="I23" s="192">
        <v>62.339535748612334</v>
      </c>
      <c r="J23" s="193">
        <v>6.990689328038148E-2</v>
      </c>
      <c r="K23" s="193">
        <v>9.5932003053744771E-3</v>
      </c>
      <c r="L23" s="192">
        <v>66.945981771623465</v>
      </c>
      <c r="M23" s="193">
        <v>0.11517268655492643</v>
      </c>
      <c r="N23" s="193">
        <v>5.5341056048583817E-2</v>
      </c>
      <c r="O23" s="193">
        <v>0.14770534087849399</v>
      </c>
      <c r="P23" s="193">
        <v>4.5508512509261488E-2</v>
      </c>
      <c r="Q23" s="193">
        <v>1.7469649507272794E-2</v>
      </c>
      <c r="R23" s="193">
        <v>9.916840142860367E-2</v>
      </c>
      <c r="S23" s="193"/>
      <c r="T23" s="193"/>
      <c r="U23" s="191"/>
      <c r="V23" s="191" t="s">
        <v>24</v>
      </c>
      <c r="W23" s="193">
        <v>978.62915974078646</v>
      </c>
      <c r="X23" s="193">
        <v>730.37395135385691</v>
      </c>
      <c r="Y23" s="193">
        <v>131.36270220411961</v>
      </c>
      <c r="Z23" s="193">
        <v>242.16080242604687</v>
      </c>
      <c r="AA23" s="193">
        <v>356.85044672519069</v>
      </c>
      <c r="AB23" s="193">
        <v>55.90398035541115</v>
      </c>
      <c r="AC23" s="193">
        <v>6.3433996097093145E-2</v>
      </c>
      <c r="AD23" s="193">
        <v>7.9470358902639423E-3</v>
      </c>
      <c r="AE23" s="193">
        <v>59.858046953137134</v>
      </c>
      <c r="AF23" s="193">
        <v>0.1026917145002896</v>
      </c>
      <c r="AG23" s="193">
        <v>3.900923692421869E-2</v>
      </c>
      <c r="AH23" s="193">
        <v>9.7299505236348935E-2</v>
      </c>
      <c r="AI23" s="193">
        <v>3.56212135673157E-2</v>
      </c>
      <c r="AJ23" s="193">
        <v>1.2806768971909034E-2</v>
      </c>
      <c r="AK23" s="193">
        <v>5.5176754165836554E-2</v>
      </c>
      <c r="AL23" s="191"/>
      <c r="AM23" s="195"/>
      <c r="AN23" s="191"/>
      <c r="AO23" s="191" t="s">
        <v>24</v>
      </c>
      <c r="AP23" s="193">
        <v>768.50349872787172</v>
      </c>
      <c r="AQ23" s="193">
        <v>573.55223008459291</v>
      </c>
      <c r="AR23" s="193">
        <v>103.15725343086363</v>
      </c>
      <c r="AS23" s="193">
        <v>190.16541870513993</v>
      </c>
      <c r="AT23" s="193">
        <v>280.22955794976758</v>
      </c>
      <c r="AU23" s="193">
        <v>43.900597144813574</v>
      </c>
      <c r="AV23" s="193">
        <v>4.9813810935102995E-2</v>
      </c>
      <c r="AW23" s="193">
        <v>6.2406937555401264E-3</v>
      </c>
      <c r="AX23" s="193">
        <v>47.005669157342112</v>
      </c>
      <c r="AY23" s="193">
        <v>8.0642336372584555E-2</v>
      </c>
      <c r="AZ23" s="193">
        <v>3.0633396481775727E-2</v>
      </c>
      <c r="BA23" s="193">
        <v>7.6407911469172862E-2</v>
      </c>
      <c r="BB23" s="193">
        <v>2.7972830139933482E-2</v>
      </c>
      <c r="BC23" s="193">
        <v>1.0056972719797707E-2</v>
      </c>
      <c r="BD23" s="193">
        <v>4.3329516807086209E-2</v>
      </c>
    </row>
    <row r="24" spans="1:56">
      <c r="A24" s="195"/>
      <c r="B24" s="196"/>
      <c r="C24" s="191" t="s">
        <v>243</v>
      </c>
      <c r="D24" s="192">
        <v>4573.3297002403997</v>
      </c>
      <c r="E24" s="192">
        <v>4381.0058087439229</v>
      </c>
      <c r="F24" s="192">
        <v>0</v>
      </c>
      <c r="G24" s="192">
        <v>0</v>
      </c>
      <c r="H24" s="192">
        <v>4381.0058087439229</v>
      </c>
      <c r="I24" s="192">
        <v>350.98182463647754</v>
      </c>
      <c r="J24" s="193">
        <v>2.2100000000000002E-2</v>
      </c>
      <c r="K24" s="193">
        <v>1.2E-2</v>
      </c>
      <c r="L24" s="192">
        <v>355.11032463647751</v>
      </c>
      <c r="M24" s="193">
        <v>0.22699999999999998</v>
      </c>
      <c r="N24" s="193">
        <v>5.21</v>
      </c>
      <c r="O24" s="193">
        <v>0.3</v>
      </c>
      <c r="P24" s="193">
        <v>2.93E-2</v>
      </c>
      <c r="Q24" s="193">
        <v>1.54E-2</v>
      </c>
      <c r="R24" s="193">
        <v>5.8095186835895813E-3</v>
      </c>
      <c r="S24" s="193"/>
      <c r="T24" s="193"/>
      <c r="U24" s="191"/>
      <c r="V24" s="191" t="s">
        <v>243</v>
      </c>
      <c r="W24" s="193">
        <v>4133.2184738574324</v>
      </c>
      <c r="X24" s="193">
        <v>3959.4027392832108</v>
      </c>
      <c r="Y24" s="193">
        <v>0</v>
      </c>
      <c r="Z24" s="193">
        <v>0</v>
      </c>
      <c r="AA24" s="193">
        <v>3959.4027392832108</v>
      </c>
      <c r="AB24" s="193">
        <v>317.23220741204671</v>
      </c>
      <c r="AC24" s="193">
        <v>1.0200000000000001E-2</v>
      </c>
      <c r="AD24" s="193">
        <v>1.2E-2</v>
      </c>
      <c r="AE24" s="193">
        <v>321.06320741204672</v>
      </c>
      <c r="AF24" s="193">
        <v>0.15</v>
      </c>
      <c r="AG24" s="193">
        <v>3.46</v>
      </c>
      <c r="AH24" s="193">
        <v>6.9000000000000006E-2</v>
      </c>
      <c r="AI24" s="193">
        <v>2.86E-2</v>
      </c>
      <c r="AJ24" s="193">
        <v>1.4800000000000001E-2</v>
      </c>
      <c r="AK24" s="193">
        <v>5.2504436638299143E-3</v>
      </c>
      <c r="AL24" s="191"/>
      <c r="AM24" s="195"/>
      <c r="AN24" s="191"/>
      <c r="AO24" s="191" t="s">
        <v>243</v>
      </c>
      <c r="AP24" s="193">
        <v>3245.7574215420432</v>
      </c>
      <c r="AQ24" s="193">
        <v>3109.2624082628295</v>
      </c>
      <c r="AR24" s="193">
        <v>0</v>
      </c>
      <c r="AS24" s="193">
        <v>0</v>
      </c>
      <c r="AT24" s="193">
        <v>3109.2624082628295</v>
      </c>
      <c r="AU24" s="193">
        <v>249.11792059200292</v>
      </c>
      <c r="AV24" s="193">
        <v>8.0099142857142855E-3</v>
      </c>
      <c r="AW24" s="193">
        <v>9.4234285714285704E-3</v>
      </c>
      <c r="AX24" s="193">
        <v>252.12635016343151</v>
      </c>
      <c r="AY24" s="193">
        <v>0.13003157142857141</v>
      </c>
      <c r="AZ24" s="193">
        <v>2.7170885714285711</v>
      </c>
      <c r="BA24" s="193">
        <v>5.4184714285714281E-2</v>
      </c>
      <c r="BB24" s="193">
        <v>2.6860814285714286E-2</v>
      </c>
      <c r="BC24" s="193">
        <v>1.3189642857142855E-2</v>
      </c>
      <c r="BD24" s="193">
        <v>4.1230984028675765E-3</v>
      </c>
    </row>
    <row r="25" spans="1:56">
      <c r="A25" s="195"/>
      <c r="B25" s="196"/>
      <c r="C25" s="191" t="s">
        <v>244</v>
      </c>
      <c r="D25" s="192">
        <v>632.74927705959908</v>
      </c>
      <c r="E25" s="192">
        <v>592.19963095937544</v>
      </c>
      <c r="F25" s="192">
        <v>223.40683084924885</v>
      </c>
      <c r="G25" s="192">
        <v>242.87483540154989</v>
      </c>
      <c r="H25" s="192">
        <v>125.91796470857669</v>
      </c>
      <c r="I25" s="192">
        <v>47.40363444652791</v>
      </c>
      <c r="J25" s="193">
        <v>8.2213299701751355E-2</v>
      </c>
      <c r="K25" s="193">
        <v>5.4867086955284565E-4</v>
      </c>
      <c r="L25" s="192">
        <v>49.62247085819844</v>
      </c>
      <c r="M25" s="193">
        <v>0.20637027837064206</v>
      </c>
      <c r="N25" s="193">
        <v>0.24962827450486438</v>
      </c>
      <c r="O25" s="193">
        <v>7.505494729309016E-2</v>
      </c>
      <c r="P25" s="193">
        <v>8.1869485998395594E-2</v>
      </c>
      <c r="Q25" s="193">
        <v>3.256749688005809E-2</v>
      </c>
      <c r="R25" s="193">
        <v>0.13740756474092966</v>
      </c>
      <c r="S25" s="193"/>
      <c r="T25" s="193"/>
      <c r="U25" s="191"/>
      <c r="V25" s="191" t="s">
        <v>244</v>
      </c>
      <c r="W25" s="193">
        <v>632.74927705959908</v>
      </c>
      <c r="X25" s="193">
        <v>592.19963095937544</v>
      </c>
      <c r="Y25" s="193">
        <v>223.40683084924885</v>
      </c>
      <c r="Z25" s="193">
        <v>242.87483540154989</v>
      </c>
      <c r="AA25" s="193">
        <v>125.91796470857669</v>
      </c>
      <c r="AB25" s="193">
        <v>47.40363444652791</v>
      </c>
      <c r="AC25" s="193">
        <v>8.2213299701751355E-2</v>
      </c>
      <c r="AD25" s="193">
        <v>5.4867086955284565E-4</v>
      </c>
      <c r="AE25" s="193">
        <v>49.62247085819844</v>
      </c>
      <c r="AF25" s="193">
        <v>0.20637027837064206</v>
      </c>
      <c r="AG25" s="193">
        <v>0.24962827450486438</v>
      </c>
      <c r="AH25" s="193">
        <v>7.505494729309016E-2</v>
      </c>
      <c r="AI25" s="193">
        <v>8.1869485998395594E-2</v>
      </c>
      <c r="AJ25" s="193">
        <v>3.256749688005809E-2</v>
      </c>
      <c r="AK25" s="193">
        <v>0.13740756474092966</v>
      </c>
      <c r="AL25" s="191"/>
      <c r="AM25" s="195"/>
      <c r="AN25" s="191"/>
      <c r="AO25" s="191" t="s">
        <v>244</v>
      </c>
      <c r="AP25" s="193">
        <v>632.74927705959908</v>
      </c>
      <c r="AQ25" s="193">
        <v>592.19963095937544</v>
      </c>
      <c r="AR25" s="193">
        <v>223.40683084924885</v>
      </c>
      <c r="AS25" s="193">
        <v>242.87483540154989</v>
      </c>
      <c r="AT25" s="193">
        <v>125.91796470857669</v>
      </c>
      <c r="AU25" s="193">
        <v>47.40363444652791</v>
      </c>
      <c r="AV25" s="193">
        <v>8.2213299701751355E-2</v>
      </c>
      <c r="AW25" s="193">
        <v>5.4867086955284565E-4</v>
      </c>
      <c r="AX25" s="193">
        <v>49.62247085819844</v>
      </c>
      <c r="AY25" s="193">
        <v>0.20637027837064206</v>
      </c>
      <c r="AZ25" s="193">
        <v>0.24962827450486438</v>
      </c>
      <c r="BA25" s="193">
        <v>7.505494729309016E-2</v>
      </c>
      <c r="BB25" s="193">
        <v>8.1869485998395594E-2</v>
      </c>
      <c r="BC25" s="193">
        <v>3.256749688005809E-2</v>
      </c>
      <c r="BD25" s="193">
        <v>0.13740756474092966</v>
      </c>
    </row>
    <row r="26" spans="1:56">
      <c r="A26" s="195"/>
      <c r="B26" s="196" t="s">
        <v>2175</v>
      </c>
      <c r="C26" s="191" t="s">
        <v>23</v>
      </c>
      <c r="D26" s="192">
        <v>741.92112479866648</v>
      </c>
      <c r="E26" s="192">
        <v>726.38981521845005</v>
      </c>
      <c r="F26" s="192">
        <v>73.777804281511706</v>
      </c>
      <c r="G26" s="192">
        <v>598.74947264406944</v>
      </c>
      <c r="H26" s="192">
        <v>53.86253829354245</v>
      </c>
      <c r="I26" s="192">
        <v>43.903786662509049</v>
      </c>
      <c r="J26" s="193">
        <v>0.45987488990397285</v>
      </c>
      <c r="K26" s="193">
        <v>8.4876901725455356E-4</v>
      </c>
      <c r="L26" s="192">
        <v>55.653592077250224</v>
      </c>
      <c r="M26" s="193">
        <v>1.8872623178730185E-2</v>
      </c>
      <c r="N26" s="193">
        <v>3.8630360770975522E-2</v>
      </c>
      <c r="O26" s="193">
        <v>0.12341463030071897</v>
      </c>
      <c r="P26" s="193">
        <v>1.8166248209335375E-2</v>
      </c>
      <c r="Q26" s="193">
        <v>8.2300813078438791E-3</v>
      </c>
      <c r="R26" s="193">
        <v>5.1263114738684654E-2</v>
      </c>
      <c r="S26" s="193"/>
      <c r="T26" s="193"/>
      <c r="U26" s="191" t="s">
        <v>2175</v>
      </c>
      <c r="V26" s="191" t="s">
        <v>23</v>
      </c>
      <c r="W26" s="193">
        <v>794.09611404406394</v>
      </c>
      <c r="X26" s="193">
        <v>783.86620524899649</v>
      </c>
      <c r="Y26" s="193">
        <v>52.816408576575448</v>
      </c>
      <c r="Z26" s="193">
        <v>682.89694359016846</v>
      </c>
      <c r="AA26" s="193">
        <v>48.152853082753531</v>
      </c>
      <c r="AB26" s="193">
        <v>51.814942374546618</v>
      </c>
      <c r="AC26" s="193">
        <v>0.44915181987986785</v>
      </c>
      <c r="AD26" s="193">
        <v>9.0613712608406301E-4</v>
      </c>
      <c r="AE26" s="193">
        <v>63.313766735116367</v>
      </c>
      <c r="AF26" s="193">
        <v>1.803289868060547E-2</v>
      </c>
      <c r="AG26" s="193">
        <v>3.0516145290145E-2</v>
      </c>
      <c r="AH26" s="193">
        <v>0.10126627671681639</v>
      </c>
      <c r="AI26" s="193">
        <v>1.5032390592262001E-2</v>
      </c>
      <c r="AJ26" s="193">
        <v>7.952708852501553E-3</v>
      </c>
      <c r="AK26" s="193">
        <v>3.0811602142204499E-2</v>
      </c>
      <c r="AL26" s="191"/>
      <c r="AM26" s="195"/>
      <c r="AN26" s="191" t="s">
        <v>2175</v>
      </c>
      <c r="AO26" s="191" t="s">
        <v>23</v>
      </c>
      <c r="AP26" s="193">
        <v>623.59233412860272</v>
      </c>
      <c r="AQ26" s="193">
        <v>615.55893289339042</v>
      </c>
      <c r="AR26" s="193">
        <v>41.475971135062167</v>
      </c>
      <c r="AS26" s="193">
        <v>536.26921413073649</v>
      </c>
      <c r="AT26" s="193">
        <v>37.813747627985158</v>
      </c>
      <c r="AU26" s="193">
        <v>40.689534033268956</v>
      </c>
      <c r="AV26" s="193">
        <v>0.35271250769709045</v>
      </c>
      <c r="AW26" s="193">
        <v>7.1157654029772768E-4</v>
      </c>
      <c r="AX26" s="193">
        <v>49.719396534704941</v>
      </c>
      <c r="AY26" s="193">
        <v>1.4160977721041178E-2</v>
      </c>
      <c r="AZ26" s="193">
        <v>2.3963892951418146E-2</v>
      </c>
      <c r="BA26" s="193">
        <v>7.9522960444619942E-2</v>
      </c>
      <c r="BB26" s="193">
        <v>1.1804721583666316E-2</v>
      </c>
      <c r="BC26" s="193">
        <v>6.245148651743004E-3</v>
      </c>
      <c r="BD26" s="193">
        <v>2.4195910996528298E-2</v>
      </c>
    </row>
    <row r="27" spans="1:56">
      <c r="A27" s="195"/>
      <c r="B27" s="196"/>
      <c r="C27" s="191" t="s">
        <v>24</v>
      </c>
      <c r="D27" s="192">
        <v>1126.2220591171194</v>
      </c>
      <c r="E27" s="192">
        <v>848.54235951775286</v>
      </c>
      <c r="F27" s="192">
        <v>154.61449245748074</v>
      </c>
      <c r="G27" s="192">
        <v>296.70160292915278</v>
      </c>
      <c r="H27" s="192">
        <v>397.22626413187561</v>
      </c>
      <c r="I27" s="192">
        <v>62.945864749705422</v>
      </c>
      <c r="J27" s="193">
        <v>7.0531087203205098E-2</v>
      </c>
      <c r="K27" s="193">
        <v>9.6008324253041011E-3</v>
      </c>
      <c r="L27" s="192">
        <v>67.570189992526167</v>
      </c>
      <c r="M27" s="193">
        <v>0.11521217901960017</v>
      </c>
      <c r="N27" s="193">
        <v>5.5310865634592268E-2</v>
      </c>
      <c r="O27" s="193">
        <v>0.14766356807184783</v>
      </c>
      <c r="P27" s="193">
        <v>4.5639446673147066E-2</v>
      </c>
      <c r="Q27" s="193">
        <v>1.7526491943852262E-2</v>
      </c>
      <c r="R27" s="193">
        <v>9.9325360482871064E-2</v>
      </c>
      <c r="S27" s="193"/>
      <c r="T27" s="193"/>
      <c r="U27" s="191"/>
      <c r="V27" s="191" t="s">
        <v>24</v>
      </c>
      <c r="W27" s="193">
        <v>1023.2578074444958</v>
      </c>
      <c r="X27" s="193">
        <v>774.65754862677989</v>
      </c>
      <c r="Y27" s="193">
        <v>133.13527656173906</v>
      </c>
      <c r="Z27" s="193">
        <v>284.8049015924214</v>
      </c>
      <c r="AA27" s="193">
        <v>356.71737047316429</v>
      </c>
      <c r="AB27" s="193">
        <v>56.500139909844307</v>
      </c>
      <c r="AC27" s="193">
        <v>6.4292595706082867E-2</v>
      </c>
      <c r="AD27" s="193">
        <v>7.9542879261898479E-3</v>
      </c>
      <c r="AE27" s="193">
        <v>60.477832604500954</v>
      </c>
      <c r="AF27" s="193">
        <v>0.10274143762314894</v>
      </c>
      <c r="AG27" s="193">
        <v>3.9074823859516425E-2</v>
      </c>
      <c r="AH27" s="193">
        <v>9.7445221993628359E-2</v>
      </c>
      <c r="AI27" s="193">
        <v>3.5717834908587688E-2</v>
      </c>
      <c r="AJ27" s="193">
        <v>1.2865709086994906E-2</v>
      </c>
      <c r="AK27" s="193">
        <v>5.5158863123661098E-2</v>
      </c>
      <c r="AL27" s="191"/>
      <c r="AM27" s="195"/>
      <c r="AN27" s="191"/>
      <c r="AO27" s="191" t="s">
        <v>24</v>
      </c>
      <c r="AP27" s="193">
        <v>803.54973821748467</v>
      </c>
      <c r="AQ27" s="193">
        <v>608.32750640020117</v>
      </c>
      <c r="AR27" s="193">
        <v>104.54923075141136</v>
      </c>
      <c r="AS27" s="193">
        <v>223.65322057907716</v>
      </c>
      <c r="AT27" s="193">
        <v>280.12505507014055</v>
      </c>
      <c r="AU27" s="193">
        <v>44.368752726344873</v>
      </c>
      <c r="AV27" s="193">
        <v>5.0488056942333923E-2</v>
      </c>
      <c r="AW27" s="193">
        <v>6.2463886757522262E-3</v>
      </c>
      <c r="AX27" s="193">
        <v>47.492377975277385</v>
      </c>
      <c r="AY27" s="193">
        <v>8.0681383230635659E-2</v>
      </c>
      <c r="AZ27" s="193">
        <v>3.068490096510882E-2</v>
      </c>
      <c r="BA27" s="193">
        <v>7.6522340756996432E-2</v>
      </c>
      <c r="BB27" s="193">
        <v>2.8048705498929499E-2</v>
      </c>
      <c r="BC27" s="193">
        <v>1.0103257550172998E-2</v>
      </c>
      <c r="BD27" s="193">
        <v>4.3315467227252144E-2</v>
      </c>
    </row>
    <row r="28" spans="1:56">
      <c r="A28" s="195"/>
      <c r="B28" s="196"/>
      <c r="C28" s="191" t="s">
        <v>243</v>
      </c>
      <c r="D28" s="192">
        <v>4573.3297002403997</v>
      </c>
      <c r="E28" s="192">
        <v>4381.0058087439229</v>
      </c>
      <c r="F28" s="192">
        <v>0</v>
      </c>
      <c r="G28" s="192">
        <v>0</v>
      </c>
      <c r="H28" s="192">
        <v>4381.0058087439229</v>
      </c>
      <c r="I28" s="192">
        <v>350.98182463647754</v>
      </c>
      <c r="J28" s="193">
        <v>2.2100000000000002E-2</v>
      </c>
      <c r="K28" s="193">
        <v>1.2E-2</v>
      </c>
      <c r="L28" s="192">
        <v>355.11032463647751</v>
      </c>
      <c r="M28" s="193">
        <v>0.22699999999999998</v>
      </c>
      <c r="N28" s="193">
        <v>5.21</v>
      </c>
      <c r="O28" s="193">
        <v>0.3</v>
      </c>
      <c r="P28" s="193">
        <v>2.93E-2</v>
      </c>
      <c r="Q28" s="193">
        <v>1.54E-2</v>
      </c>
      <c r="R28" s="193">
        <v>5.8095186835895813E-3</v>
      </c>
      <c r="S28" s="193"/>
      <c r="T28" s="193"/>
      <c r="U28" s="191"/>
      <c r="V28" s="191" t="s">
        <v>243</v>
      </c>
      <c r="W28" s="193">
        <v>4133.2184738574324</v>
      </c>
      <c r="X28" s="193">
        <v>3959.4027392832108</v>
      </c>
      <c r="Y28" s="193">
        <v>0</v>
      </c>
      <c r="Z28" s="193">
        <v>0</v>
      </c>
      <c r="AA28" s="193">
        <v>3959.4027392832108</v>
      </c>
      <c r="AB28" s="193">
        <v>317.23220741204671</v>
      </c>
      <c r="AC28" s="193">
        <v>1.0200000000000001E-2</v>
      </c>
      <c r="AD28" s="193">
        <v>1.2E-2</v>
      </c>
      <c r="AE28" s="193">
        <v>321.06320741204672</v>
      </c>
      <c r="AF28" s="193">
        <v>0.15</v>
      </c>
      <c r="AG28" s="193">
        <v>3.46</v>
      </c>
      <c r="AH28" s="193">
        <v>6.9000000000000006E-2</v>
      </c>
      <c r="AI28" s="193">
        <v>2.86E-2</v>
      </c>
      <c r="AJ28" s="193">
        <v>1.4800000000000001E-2</v>
      </c>
      <c r="AK28" s="193">
        <v>5.2504436638299143E-3</v>
      </c>
      <c r="AL28" s="191"/>
      <c r="AM28" s="195"/>
      <c r="AN28" s="191"/>
      <c r="AO28" s="191" t="s">
        <v>243</v>
      </c>
      <c r="AP28" s="193">
        <v>3245.7574215420432</v>
      </c>
      <c r="AQ28" s="193">
        <v>3109.2624082628295</v>
      </c>
      <c r="AR28" s="193">
        <v>0</v>
      </c>
      <c r="AS28" s="193">
        <v>0</v>
      </c>
      <c r="AT28" s="193">
        <v>3109.2624082628295</v>
      </c>
      <c r="AU28" s="193">
        <v>249.11792059200292</v>
      </c>
      <c r="AV28" s="193">
        <v>8.0099142857142855E-3</v>
      </c>
      <c r="AW28" s="193">
        <v>9.4234285714285704E-3</v>
      </c>
      <c r="AX28" s="193">
        <v>252.12635016343151</v>
      </c>
      <c r="AY28" s="193">
        <v>0.13003157142857141</v>
      </c>
      <c r="AZ28" s="193">
        <v>2.7170885714285711</v>
      </c>
      <c r="BA28" s="193">
        <v>5.4184714285714281E-2</v>
      </c>
      <c r="BB28" s="193">
        <v>2.6860814285714286E-2</v>
      </c>
      <c r="BC28" s="193">
        <v>1.3189642857142855E-2</v>
      </c>
      <c r="BD28" s="193">
        <v>4.1230984028675765E-3</v>
      </c>
    </row>
    <row r="29" spans="1:56">
      <c r="A29" s="195"/>
      <c r="B29" s="196"/>
      <c r="C29" s="191" t="s">
        <v>244</v>
      </c>
      <c r="D29" s="192">
        <v>632.74927705959908</v>
      </c>
      <c r="E29" s="192">
        <v>592.19963095937544</v>
      </c>
      <c r="F29" s="192">
        <v>223.40683084924885</v>
      </c>
      <c r="G29" s="192">
        <v>242.87483540154989</v>
      </c>
      <c r="H29" s="192">
        <v>125.91796470857669</v>
      </c>
      <c r="I29" s="192">
        <v>47.40363444652791</v>
      </c>
      <c r="J29" s="193">
        <v>8.2213299701751355E-2</v>
      </c>
      <c r="K29" s="193">
        <v>5.4867086955284565E-4</v>
      </c>
      <c r="L29" s="192">
        <v>49.62247085819844</v>
      </c>
      <c r="M29" s="193">
        <v>0.20637027837064206</v>
      </c>
      <c r="N29" s="193">
        <v>0.24962827450486438</v>
      </c>
      <c r="O29" s="193">
        <v>7.505494729309016E-2</v>
      </c>
      <c r="P29" s="193">
        <v>8.1869485998395594E-2</v>
      </c>
      <c r="Q29" s="193">
        <v>3.256749688005809E-2</v>
      </c>
      <c r="R29" s="193">
        <v>0.13740756474092966</v>
      </c>
      <c r="S29" s="193"/>
      <c r="T29" s="193"/>
      <c r="U29" s="191"/>
      <c r="V29" s="191" t="s">
        <v>244</v>
      </c>
      <c r="W29" s="193">
        <v>632.74927705959908</v>
      </c>
      <c r="X29" s="193">
        <v>592.19963095937544</v>
      </c>
      <c r="Y29" s="193">
        <v>223.40683084924885</v>
      </c>
      <c r="Z29" s="193">
        <v>242.87483540154989</v>
      </c>
      <c r="AA29" s="193">
        <v>125.91796470857669</v>
      </c>
      <c r="AB29" s="193">
        <v>47.40363444652791</v>
      </c>
      <c r="AC29" s="193">
        <v>8.2213299701751355E-2</v>
      </c>
      <c r="AD29" s="193">
        <v>5.4867086955284565E-4</v>
      </c>
      <c r="AE29" s="193">
        <v>49.62247085819844</v>
      </c>
      <c r="AF29" s="193">
        <v>0.20637027837064206</v>
      </c>
      <c r="AG29" s="193">
        <v>0.24962827450486438</v>
      </c>
      <c r="AH29" s="193">
        <v>7.505494729309016E-2</v>
      </c>
      <c r="AI29" s="193">
        <v>8.1869485998395594E-2</v>
      </c>
      <c r="AJ29" s="193">
        <v>3.256749688005809E-2</v>
      </c>
      <c r="AK29" s="193">
        <v>0.13740756474092966</v>
      </c>
      <c r="AL29" s="191"/>
      <c r="AM29" s="195"/>
      <c r="AN29" s="191"/>
      <c r="AO29" s="191" t="s">
        <v>244</v>
      </c>
      <c r="AP29" s="193">
        <v>632.74927705959908</v>
      </c>
      <c r="AQ29" s="193">
        <v>592.19963095937544</v>
      </c>
      <c r="AR29" s="193">
        <v>223.40683084924885</v>
      </c>
      <c r="AS29" s="193">
        <v>242.87483540154989</v>
      </c>
      <c r="AT29" s="193">
        <v>125.91796470857669</v>
      </c>
      <c r="AU29" s="193">
        <v>47.40363444652791</v>
      </c>
      <c r="AV29" s="193">
        <v>8.2213299701751355E-2</v>
      </c>
      <c r="AW29" s="193">
        <v>5.4867086955284565E-4</v>
      </c>
      <c r="AX29" s="193">
        <v>49.62247085819844</v>
      </c>
      <c r="AY29" s="193">
        <v>0.20637027837064206</v>
      </c>
      <c r="AZ29" s="193">
        <v>0.24962827450486438</v>
      </c>
      <c r="BA29" s="193">
        <v>7.505494729309016E-2</v>
      </c>
      <c r="BB29" s="193">
        <v>8.1869485998395594E-2</v>
      </c>
      <c r="BC29" s="193">
        <v>3.256749688005809E-2</v>
      </c>
      <c r="BD29" s="193">
        <v>0.13740756474092966</v>
      </c>
    </row>
    <row r="30" spans="1:56">
      <c r="A30" s="195"/>
      <c r="B30" s="196" t="s">
        <v>5</v>
      </c>
      <c r="C30" s="191" t="s">
        <v>23</v>
      </c>
      <c r="D30" s="192">
        <v>435.56652470914793</v>
      </c>
      <c r="E30" s="192">
        <v>432.33573029175614</v>
      </c>
      <c r="F30" s="192">
        <v>15.577463914957772</v>
      </c>
      <c r="G30" s="192">
        <v>392.68771004507971</v>
      </c>
      <c r="H30" s="192">
        <v>24.070556331465099</v>
      </c>
      <c r="I30" s="192">
        <v>30.797035600270679</v>
      </c>
      <c r="J30" s="193">
        <v>1.3393107826491639</v>
      </c>
      <c r="K30" s="193">
        <v>5.1857232531457641E-4</v>
      </c>
      <c r="L30" s="192">
        <v>64.434339719443514</v>
      </c>
      <c r="M30" s="193">
        <v>3.4777424114290155E-2</v>
      </c>
      <c r="N30" s="193">
        <v>7.2444092314151221E-2</v>
      </c>
      <c r="O30" s="193">
        <v>0.16178425722105064</v>
      </c>
      <c r="P30" s="193">
        <v>5.849264241451285E-3</v>
      </c>
      <c r="Q30" s="193">
        <v>3.5435822668850041E-3</v>
      </c>
      <c r="R30" s="193">
        <v>7.011169670101558E-2</v>
      </c>
      <c r="S30" s="193"/>
      <c r="T30" s="193"/>
      <c r="U30" s="191" t="s">
        <v>5</v>
      </c>
      <c r="V30" s="191" t="s">
        <v>23</v>
      </c>
      <c r="W30" s="193">
        <v>351.74164502612035</v>
      </c>
      <c r="X30" s="193">
        <v>349.52999886865263</v>
      </c>
      <c r="Y30" s="193">
        <v>11.64206006445221</v>
      </c>
      <c r="Z30" s="193">
        <v>318.40624614277101</v>
      </c>
      <c r="AA30" s="193">
        <v>19.481692661837389</v>
      </c>
      <c r="AB30" s="193">
        <v>24.846845468397593</v>
      </c>
      <c r="AC30" s="193">
        <v>1.0797700334989044</v>
      </c>
      <c r="AD30" s="193">
        <v>4.2119465451485026E-4</v>
      </c>
      <c r="AE30" s="193">
        <v>51.966612312915629</v>
      </c>
      <c r="AF30" s="193">
        <v>2.7124651466330758E-2</v>
      </c>
      <c r="AG30" s="193">
        <v>3.6654986102871684E-2</v>
      </c>
      <c r="AH30" s="193">
        <v>9.4126342471104865E-2</v>
      </c>
      <c r="AI30" s="193">
        <v>3.8775958234012159E-3</v>
      </c>
      <c r="AJ30" s="193">
        <v>2.2334661754813581E-3</v>
      </c>
      <c r="AK30" s="193">
        <v>5.2188099494200099E-2</v>
      </c>
      <c r="AL30" s="191"/>
      <c r="AM30" s="195"/>
      <c r="AN30" s="191" t="s">
        <v>5</v>
      </c>
      <c r="AO30" s="191" t="s">
        <v>23</v>
      </c>
      <c r="AP30" s="193">
        <v>228.17983000908748</v>
      </c>
      <c r="AQ30" s="193">
        <v>226.74510355179308</v>
      </c>
      <c r="AR30" s="193">
        <v>7.5523706789539258</v>
      </c>
      <c r="AS30" s="193">
        <v>206.55468053347474</v>
      </c>
      <c r="AT30" s="193">
        <v>12.638052339629082</v>
      </c>
      <c r="AU30" s="193">
        <v>16.11850361028478</v>
      </c>
      <c r="AV30" s="193">
        <v>0.70046224601693208</v>
      </c>
      <c r="AW30" s="193">
        <v>2.732349894502764E-4</v>
      </c>
      <c r="AX30" s="193">
        <v>33.711483787564269</v>
      </c>
      <c r="AY30" s="193">
        <v>1.7596148901229711E-2</v>
      </c>
      <c r="AZ30" s="193">
        <v>2.3778613127591473E-2</v>
      </c>
      <c r="BA30" s="193">
        <v>6.1061103023041026E-2</v>
      </c>
      <c r="BB30" s="193">
        <v>2.5154518048664171E-3</v>
      </c>
      <c r="BC30" s="193">
        <v>1.4488814146944066E-3</v>
      </c>
      <c r="BD30" s="193">
        <v>3.3855165686166089E-2</v>
      </c>
    </row>
    <row r="31" spans="1:56">
      <c r="A31" s="195"/>
      <c r="B31" s="196"/>
      <c r="C31" s="191" t="s">
        <v>24</v>
      </c>
      <c r="D31" s="192">
        <v>414.52376552541068</v>
      </c>
      <c r="E31" s="192">
        <v>358.72418553593121</v>
      </c>
      <c r="F31" s="192">
        <v>263.4267894658567</v>
      </c>
      <c r="G31" s="192">
        <v>75.668402492919171</v>
      </c>
      <c r="H31" s="192">
        <v>19.628993577091666</v>
      </c>
      <c r="I31" s="192">
        <v>34.791124339693148</v>
      </c>
      <c r="J31" s="193">
        <v>4.5601776294679777E-2</v>
      </c>
      <c r="K31" s="193">
        <v>4.749862945415358E-4</v>
      </c>
      <c r="L31" s="192">
        <v>36.072714662833519</v>
      </c>
      <c r="M31" s="193">
        <v>3.1751196152122216E-3</v>
      </c>
      <c r="N31" s="193">
        <v>8.2595296933807814E-3</v>
      </c>
      <c r="O31" s="193">
        <v>5.4372813545242087E-2</v>
      </c>
      <c r="P31" s="193">
        <v>4.7393421672227459E-2</v>
      </c>
      <c r="Q31" s="193">
        <v>1.2631471570611353E-2</v>
      </c>
      <c r="R31" s="193">
        <v>0.12035699779623178</v>
      </c>
      <c r="S31" s="193"/>
      <c r="T31" s="193"/>
      <c r="U31" s="191"/>
      <c r="V31" s="191" t="s">
        <v>24</v>
      </c>
      <c r="W31" s="193">
        <v>332.09734907813043</v>
      </c>
      <c r="X31" s="193">
        <v>294.00195571392811</v>
      </c>
      <c r="Y31" s="193">
        <v>194.94642511298736</v>
      </c>
      <c r="Z31" s="193">
        <v>84.929100445392535</v>
      </c>
      <c r="AA31" s="193">
        <v>14.126430155668769</v>
      </c>
      <c r="AB31" s="193">
        <v>27.452427238647395</v>
      </c>
      <c r="AC31" s="193">
        <v>3.857017958947162E-2</v>
      </c>
      <c r="AD31" s="193">
        <v>4.2439994774648378E-4</v>
      </c>
      <c r="AE31" s="193">
        <v>28.543152912812637</v>
      </c>
      <c r="AF31" s="193">
        <v>2.454695988511257E-3</v>
      </c>
      <c r="AG31" s="193">
        <v>7.6174610531639254E-3</v>
      </c>
      <c r="AH31" s="193">
        <v>2.5853871807005713E-2</v>
      </c>
      <c r="AI31" s="193">
        <v>3.4659990680092005E-2</v>
      </c>
      <c r="AJ31" s="193">
        <v>9.1496668207283905E-3</v>
      </c>
      <c r="AK31" s="193">
        <v>5.2186655941767031E-2</v>
      </c>
      <c r="AL31" s="191"/>
      <c r="AM31" s="195"/>
      <c r="AN31" s="191"/>
      <c r="AO31" s="191" t="s">
        <v>24</v>
      </c>
      <c r="AP31" s="193">
        <v>215.43629459482719</v>
      </c>
      <c r="AQ31" s="193">
        <v>190.72326869956393</v>
      </c>
      <c r="AR31" s="193">
        <v>126.46453091972508</v>
      </c>
      <c r="AS31" s="193">
        <v>55.094720731789643</v>
      </c>
      <c r="AT31" s="193">
        <v>9.1640170481274108</v>
      </c>
      <c r="AU31" s="193">
        <v>17.808781727242547</v>
      </c>
      <c r="AV31" s="193">
        <v>2.5021026502255805E-2</v>
      </c>
      <c r="AW31" s="193">
        <v>2.7531430895954038E-4</v>
      </c>
      <c r="AX31" s="193">
        <v>18.516351053868881</v>
      </c>
      <c r="AY31" s="193">
        <v>1.5923963548328025E-3</v>
      </c>
      <c r="AZ31" s="193">
        <v>4.9415558060596264E-3</v>
      </c>
      <c r="BA31" s="193">
        <v>1.6771775982230421E-2</v>
      </c>
      <c r="BB31" s="193">
        <v>2.2484431096899685E-2</v>
      </c>
      <c r="BC31" s="193">
        <v>5.9355195761325169E-3</v>
      </c>
      <c r="BD31" s="193">
        <v>3.3854229233080582E-2</v>
      </c>
    </row>
    <row r="32" spans="1:56">
      <c r="A32" s="195"/>
      <c r="B32" s="196"/>
      <c r="C32" s="191" t="s">
        <v>243</v>
      </c>
      <c r="D32" s="192">
        <v>5614.9623983377205</v>
      </c>
      <c r="E32" s="192">
        <v>5614.9623983377205</v>
      </c>
      <c r="F32" s="192">
        <v>0</v>
      </c>
      <c r="G32" s="192">
        <v>5614.9623983377205</v>
      </c>
      <c r="H32" s="192">
        <v>0</v>
      </c>
      <c r="I32" s="192">
        <v>332.99222690334187</v>
      </c>
      <c r="J32" s="193">
        <v>0.22100000000000003</v>
      </c>
      <c r="K32" s="193">
        <v>1.2E-2</v>
      </c>
      <c r="L32" s="192">
        <v>342.09322690334187</v>
      </c>
      <c r="M32" s="193">
        <v>0.152</v>
      </c>
      <c r="N32" s="193">
        <v>4.1680000000000001</v>
      </c>
      <c r="O32" s="193">
        <v>0.3</v>
      </c>
      <c r="P32" s="193">
        <v>2.93E-2</v>
      </c>
      <c r="Q32" s="193">
        <v>1.54E-2</v>
      </c>
      <c r="R32" s="193">
        <v>1.5079858323104357E-3</v>
      </c>
      <c r="S32" s="193"/>
      <c r="T32" s="193"/>
      <c r="U32" s="191"/>
      <c r="V32" s="191" t="s">
        <v>243</v>
      </c>
      <c r="W32" s="193">
        <v>4526.8583285105215</v>
      </c>
      <c r="X32" s="193">
        <v>4526.8583285105215</v>
      </c>
      <c r="Y32" s="193">
        <v>0</v>
      </c>
      <c r="Z32" s="193">
        <v>4526.8583285105215</v>
      </c>
      <c r="AA32" s="193">
        <v>0</v>
      </c>
      <c r="AB32" s="193">
        <v>268.67229553125509</v>
      </c>
      <c r="AC32" s="193">
        <v>0.10200000000000001</v>
      </c>
      <c r="AD32" s="193">
        <v>1.2E-2</v>
      </c>
      <c r="AE32" s="193">
        <v>274.79829553125506</v>
      </c>
      <c r="AF32" s="193">
        <v>0.1215</v>
      </c>
      <c r="AG32" s="193">
        <v>3.46</v>
      </c>
      <c r="AH32" s="193">
        <v>6.9000000000000006E-2</v>
      </c>
      <c r="AI32" s="193">
        <v>2.86E-2</v>
      </c>
      <c r="AJ32" s="193">
        <v>1.4800000000000001E-2</v>
      </c>
      <c r="AK32" s="193">
        <v>1.2157584931096416E-3</v>
      </c>
      <c r="AL32" s="191"/>
      <c r="AM32" s="195"/>
      <c r="AN32" s="191"/>
      <c r="AO32" s="191" t="s">
        <v>243</v>
      </c>
      <c r="AP32" s="193">
        <v>2936.6376671094681</v>
      </c>
      <c r="AQ32" s="193">
        <v>2936.6376671094681</v>
      </c>
      <c r="AR32" s="193">
        <v>0</v>
      </c>
      <c r="AS32" s="193">
        <v>2936.6376671094681</v>
      </c>
      <c r="AT32" s="193">
        <v>0</v>
      </c>
      <c r="AU32" s="193">
        <v>174.2915562867756</v>
      </c>
      <c r="AV32" s="193">
        <v>6.616885714285714E-2</v>
      </c>
      <c r="AW32" s="193">
        <v>7.784571428571428E-3</v>
      </c>
      <c r="AX32" s="193">
        <v>178.26558000106132</v>
      </c>
      <c r="AY32" s="193">
        <v>8.8830428571428574E-2</v>
      </c>
      <c r="AZ32" s="193">
        <v>2.2445514285714285</v>
      </c>
      <c r="BA32" s="193">
        <v>4.4761285714285719E-2</v>
      </c>
      <c r="BB32" s="193">
        <v>2.5754585714285714E-2</v>
      </c>
      <c r="BC32" s="193">
        <v>1.2165357142857143E-2</v>
      </c>
      <c r="BD32" s="193">
        <v>7.8867990245869743E-4</v>
      </c>
    </row>
    <row r="33" spans="1:56">
      <c r="A33" s="195"/>
      <c r="B33" s="196"/>
      <c r="C33" s="191" t="s">
        <v>244</v>
      </c>
      <c r="D33" s="192">
        <v>632.74927705959908</v>
      </c>
      <c r="E33" s="192">
        <v>592.19963095937544</v>
      </c>
      <c r="F33" s="192">
        <v>223.40683084924885</v>
      </c>
      <c r="G33" s="192">
        <v>242.87483540154989</v>
      </c>
      <c r="H33" s="192">
        <v>125.91796470857669</v>
      </c>
      <c r="I33" s="192">
        <v>47.40363444652791</v>
      </c>
      <c r="J33" s="193">
        <v>8.2213299701751355E-2</v>
      </c>
      <c r="K33" s="193">
        <v>5.4867086955284565E-4</v>
      </c>
      <c r="L33" s="192">
        <v>49.62247085819844</v>
      </c>
      <c r="M33" s="193">
        <v>0.20637027837064206</v>
      </c>
      <c r="N33" s="193">
        <v>0.24962827450486438</v>
      </c>
      <c r="O33" s="193">
        <v>7.505494729309016E-2</v>
      </c>
      <c r="P33" s="193">
        <v>8.1869485998395594E-2</v>
      </c>
      <c r="Q33" s="193">
        <v>3.256749688005809E-2</v>
      </c>
      <c r="R33" s="193">
        <v>0.13740756474092966</v>
      </c>
      <c r="S33" s="193"/>
      <c r="T33" s="193"/>
      <c r="U33" s="191"/>
      <c r="V33" s="191" t="s">
        <v>244</v>
      </c>
      <c r="W33" s="193">
        <v>632.74927705959908</v>
      </c>
      <c r="X33" s="193">
        <v>592.19963095937544</v>
      </c>
      <c r="Y33" s="193">
        <v>223.40683084924885</v>
      </c>
      <c r="Z33" s="193">
        <v>242.87483540154989</v>
      </c>
      <c r="AA33" s="193">
        <v>125.91796470857669</v>
      </c>
      <c r="AB33" s="193">
        <v>47.40363444652791</v>
      </c>
      <c r="AC33" s="193">
        <v>8.2213299701751355E-2</v>
      </c>
      <c r="AD33" s="193">
        <v>5.4867086955284565E-4</v>
      </c>
      <c r="AE33" s="193">
        <v>49.62247085819844</v>
      </c>
      <c r="AF33" s="193">
        <v>0.20637027837064206</v>
      </c>
      <c r="AG33" s="193">
        <v>0.24962827450486438</v>
      </c>
      <c r="AH33" s="193">
        <v>7.505494729309016E-2</v>
      </c>
      <c r="AI33" s="193">
        <v>8.1869485998395594E-2</v>
      </c>
      <c r="AJ33" s="193">
        <v>3.256749688005809E-2</v>
      </c>
      <c r="AK33" s="193">
        <v>0.13740756474092966</v>
      </c>
      <c r="AL33" s="191"/>
      <c r="AM33" s="195"/>
      <c r="AN33" s="191"/>
      <c r="AO33" s="191" t="s">
        <v>244</v>
      </c>
      <c r="AP33" s="193">
        <v>632.74927705959908</v>
      </c>
      <c r="AQ33" s="193">
        <v>592.19963095937544</v>
      </c>
      <c r="AR33" s="193">
        <v>223.40683084924885</v>
      </c>
      <c r="AS33" s="193">
        <v>242.87483540154989</v>
      </c>
      <c r="AT33" s="193">
        <v>125.91796470857669</v>
      </c>
      <c r="AU33" s="193">
        <v>47.40363444652791</v>
      </c>
      <c r="AV33" s="193">
        <v>8.2213299701751355E-2</v>
      </c>
      <c r="AW33" s="193">
        <v>5.4867086955284565E-4</v>
      </c>
      <c r="AX33" s="193">
        <v>49.62247085819844</v>
      </c>
      <c r="AY33" s="193">
        <v>0.20637027837064206</v>
      </c>
      <c r="AZ33" s="193">
        <v>0.24962827450486438</v>
      </c>
      <c r="BA33" s="193">
        <v>7.505494729309016E-2</v>
      </c>
      <c r="BB33" s="193">
        <v>8.1869485998395594E-2</v>
      </c>
      <c r="BC33" s="193">
        <v>3.256749688005809E-2</v>
      </c>
      <c r="BD33" s="193">
        <v>0.13740756474092966</v>
      </c>
    </row>
    <row r="34" spans="1:56">
      <c r="A34" s="195"/>
      <c r="B34" s="196" t="s">
        <v>2176</v>
      </c>
      <c r="C34" s="191" t="s">
        <v>23</v>
      </c>
      <c r="D34" s="192">
        <v>822.45287621804277</v>
      </c>
      <c r="E34" s="192">
        <v>794.58564159907269</v>
      </c>
      <c r="F34" s="192">
        <v>132.78116176953765</v>
      </c>
      <c r="G34" s="192">
        <v>433.02344170923806</v>
      </c>
      <c r="H34" s="192">
        <v>228.78103811882039</v>
      </c>
      <c r="I34" s="192">
        <v>-225.16926830472079</v>
      </c>
      <c r="J34" s="193">
        <v>0.22540179297015045</v>
      </c>
      <c r="K34" s="193">
        <v>0.15467700517290028</v>
      </c>
      <c r="L34" s="192">
        <v>-173.44047593894274</v>
      </c>
      <c r="M34" s="193">
        <v>6.1688561650069224E-2</v>
      </c>
      <c r="N34" s="193">
        <v>0.1628367556273918</v>
      </c>
      <c r="O34" s="193">
        <v>0.41698125088681148</v>
      </c>
      <c r="P34" s="193">
        <v>4.0289902601746787E-2</v>
      </c>
      <c r="Q34" s="193">
        <v>2.0607861359827343E-2</v>
      </c>
      <c r="R34" s="193">
        <v>0.18741963824172597</v>
      </c>
      <c r="S34" s="193"/>
      <c r="T34" s="193"/>
      <c r="U34" s="191" t="s">
        <v>2176</v>
      </c>
      <c r="V34" s="191" t="s">
        <v>23</v>
      </c>
      <c r="W34" s="193">
        <v>730.0975067523425</v>
      </c>
      <c r="X34" s="193">
        <v>711.02762152242485</v>
      </c>
      <c r="Y34" s="193">
        <v>100.77937258623047</v>
      </c>
      <c r="Z34" s="193">
        <v>402.71013704585977</v>
      </c>
      <c r="AA34" s="193">
        <v>207.53811189325467</v>
      </c>
      <c r="AB34" s="193">
        <v>-204.42252824430045</v>
      </c>
      <c r="AC34" s="193">
        <v>0.20150686010843336</v>
      </c>
      <c r="AD34" s="193">
        <v>0.1235951536501851</v>
      </c>
      <c r="AE34" s="193">
        <v>-162.55350095383446</v>
      </c>
      <c r="AF34" s="193">
        <v>4.0153541263013043E-2</v>
      </c>
      <c r="AG34" s="193">
        <v>6.6417427589822553E-2</v>
      </c>
      <c r="AH34" s="193">
        <v>0.22455445556653453</v>
      </c>
      <c r="AI34" s="193">
        <v>2.3405341562356088E-2</v>
      </c>
      <c r="AJ34" s="193">
        <v>9.422368265491074E-3</v>
      </c>
      <c r="AK34" s="193">
        <v>0.10829754279866495</v>
      </c>
      <c r="AL34" s="191"/>
      <c r="AM34" s="195"/>
      <c r="AN34" s="191" t="s">
        <v>2176</v>
      </c>
      <c r="AO34" s="191" t="s">
        <v>23</v>
      </c>
      <c r="AP34" s="193">
        <v>498.55229746802814</v>
      </c>
      <c r="AQ34" s="193">
        <v>485.53029012531294</v>
      </c>
      <c r="AR34" s="193">
        <v>68.817914423168801</v>
      </c>
      <c r="AS34" s="193">
        <v>274.99349358274424</v>
      </c>
      <c r="AT34" s="193">
        <v>141.7188821213939</v>
      </c>
      <c r="AU34" s="193">
        <v>-139.59138357253659</v>
      </c>
      <c r="AV34" s="193">
        <v>0.13760039875975877</v>
      </c>
      <c r="AW34" s="193">
        <v>8.4397833492554961E-2</v>
      </c>
      <c r="AX34" s="193">
        <v>-111.00081922276124</v>
      </c>
      <c r="AY34" s="193">
        <v>2.7419132462457477E-2</v>
      </c>
      <c r="AZ34" s="193">
        <v>4.5353614839907401E-2</v>
      </c>
      <c r="BA34" s="193">
        <v>0.153338613944005</v>
      </c>
      <c r="BB34" s="193">
        <v>1.5982504666866015E-2</v>
      </c>
      <c r="BC34" s="193">
        <v>6.4341314727210473E-3</v>
      </c>
      <c r="BD34" s="193">
        <v>7.3951750653945492E-2</v>
      </c>
    </row>
    <row r="35" spans="1:56">
      <c r="A35" s="195"/>
      <c r="B35" s="196"/>
      <c r="C35" s="191" t="s">
        <v>24</v>
      </c>
      <c r="D35" s="192">
        <v>6276.5829921285012</v>
      </c>
      <c r="E35" s="192">
        <v>826.908920930612</v>
      </c>
      <c r="F35" s="192">
        <v>320.25075617792697</v>
      </c>
      <c r="G35" s="192">
        <v>162.12451023563045</v>
      </c>
      <c r="H35" s="192">
        <v>344.53365451234885</v>
      </c>
      <c r="I35" s="192">
        <v>72.193302341614583</v>
      </c>
      <c r="J35" s="193">
        <v>9.4638224784854702E-2</v>
      </c>
      <c r="K35" s="193">
        <v>2.4785180717978032E-2</v>
      </c>
      <c r="L35" s="192">
        <v>81.945241815193398</v>
      </c>
      <c r="M35" s="193">
        <v>0.25525962527457052</v>
      </c>
      <c r="N35" s="193">
        <v>0.24137077664323398</v>
      </c>
      <c r="O35" s="193">
        <v>0.49689196261547852</v>
      </c>
      <c r="P35" s="193">
        <v>0.14332464477176163</v>
      </c>
      <c r="Q35" s="193">
        <v>4.8003453915576109E-2</v>
      </c>
      <c r="R35" s="193">
        <v>0.18445300030976858</v>
      </c>
      <c r="S35" s="193"/>
      <c r="T35" s="193"/>
      <c r="U35" s="191"/>
      <c r="V35" s="191" t="s">
        <v>24</v>
      </c>
      <c r="W35" s="193">
        <v>5620.5932720056844</v>
      </c>
      <c r="X35" s="193">
        <v>708.62092215833104</v>
      </c>
      <c r="Y35" s="193">
        <v>263.35226868620646</v>
      </c>
      <c r="Z35" s="193">
        <v>179.77699439358861</v>
      </c>
      <c r="AA35" s="193">
        <v>265.49165908683125</v>
      </c>
      <c r="AB35" s="193">
        <v>60.840449791869858</v>
      </c>
      <c r="AC35" s="193">
        <v>8.377123741071385E-2</v>
      </c>
      <c r="AD35" s="193">
        <v>2.349189100438949E-2</v>
      </c>
      <c r="AE35" s="193">
        <v>69.93531424644577</v>
      </c>
      <c r="AF35" s="193">
        <v>0.22186765130576402</v>
      </c>
      <c r="AG35" s="193">
        <v>0.18398925835041713</v>
      </c>
      <c r="AH35" s="193">
        <v>0.34542556890250314</v>
      </c>
      <c r="AI35" s="193">
        <v>0.11608326368799037</v>
      </c>
      <c r="AJ35" s="193">
        <v>3.4969998608745501E-2</v>
      </c>
      <c r="AK35" s="193">
        <v>9.173893642619782E-2</v>
      </c>
      <c r="AL35" s="191"/>
      <c r="AM35" s="195"/>
      <c r="AN35" s="191"/>
      <c r="AO35" s="191" t="s">
        <v>24</v>
      </c>
      <c r="AP35" s="193">
        <v>3838.0622628838814</v>
      </c>
      <c r="AQ35" s="193">
        <v>483.88685827383176</v>
      </c>
      <c r="AR35" s="193">
        <v>179.83197776000955</v>
      </c>
      <c r="AS35" s="193">
        <v>122.7620047430505</v>
      </c>
      <c r="AT35" s="193">
        <v>181.29287577643618</v>
      </c>
      <c r="AU35" s="193">
        <v>41.545335715019704</v>
      </c>
      <c r="AV35" s="193">
        <v>5.7203787831887454E-2</v>
      </c>
      <c r="AW35" s="193">
        <v>1.6041605571568824E-2</v>
      </c>
      <c r="AX35" s="193">
        <v>47.755828871144395</v>
      </c>
      <c r="AY35" s="193">
        <v>0.15150391046307884</v>
      </c>
      <c r="AZ35" s="193">
        <v>0.12563837927357055</v>
      </c>
      <c r="BA35" s="193">
        <v>0.23587631705056641</v>
      </c>
      <c r="BB35" s="193">
        <v>7.9268285775513411E-2</v>
      </c>
      <c r="BC35" s="193">
        <v>2.3879513335686213E-2</v>
      </c>
      <c r="BD35" s="193">
        <v>6.2644588016746508E-2</v>
      </c>
    </row>
    <row r="36" spans="1:56">
      <c r="A36" s="195"/>
      <c r="B36" s="196"/>
      <c r="C36" s="191" t="s">
        <v>243</v>
      </c>
      <c r="D36" s="192">
        <v>5334.2142784208345</v>
      </c>
      <c r="E36" s="192">
        <v>1411.5548362083096</v>
      </c>
      <c r="F36" s="192">
        <v>0</v>
      </c>
      <c r="G36" s="192">
        <v>0</v>
      </c>
      <c r="H36" s="192">
        <v>1411.5548362083096</v>
      </c>
      <c r="I36" s="192">
        <v>402.2804356389081</v>
      </c>
      <c r="J36" s="193">
        <v>1.7680000000000001E-2</v>
      </c>
      <c r="K36" s="193">
        <v>1.2E-2</v>
      </c>
      <c r="L36" s="192">
        <v>406.29843563890807</v>
      </c>
      <c r="M36" s="193">
        <v>0.21604999999999999</v>
      </c>
      <c r="N36" s="193">
        <v>4.6890000000000001</v>
      </c>
      <c r="O36" s="193">
        <v>0.3</v>
      </c>
      <c r="P36" s="193">
        <v>2.93E-2</v>
      </c>
      <c r="Q36" s="193">
        <v>1.54E-2</v>
      </c>
      <c r="R36" s="193">
        <v>2.0707466151465006E-3</v>
      </c>
      <c r="S36" s="193"/>
      <c r="T36" s="193"/>
      <c r="U36" s="191"/>
      <c r="V36" s="191" t="s">
        <v>243</v>
      </c>
      <c r="W36" s="193">
        <v>4753.2012449360473</v>
      </c>
      <c r="X36" s="193">
        <v>1244.7719055870814</v>
      </c>
      <c r="Y36" s="193">
        <v>0</v>
      </c>
      <c r="Z36" s="193">
        <v>0</v>
      </c>
      <c r="AA36" s="193">
        <v>1244.7719055870814</v>
      </c>
      <c r="AB36" s="193">
        <v>358.38833568449388</v>
      </c>
      <c r="AC36" s="193">
        <v>1.0200000000000001E-2</v>
      </c>
      <c r="AD36" s="193">
        <v>1.2E-2</v>
      </c>
      <c r="AE36" s="193">
        <v>362.2193356844939</v>
      </c>
      <c r="AF36" s="193">
        <v>0.14144999999999999</v>
      </c>
      <c r="AG36" s="193">
        <v>3.46</v>
      </c>
      <c r="AH36" s="193">
        <v>6.9000000000000006E-2</v>
      </c>
      <c r="AI36" s="193">
        <v>2.86E-2</v>
      </c>
      <c r="AJ36" s="193">
        <v>1.4800000000000001E-2</v>
      </c>
      <c r="AK36" s="193">
        <v>1.7185789646438651E-3</v>
      </c>
      <c r="AL36" s="191"/>
      <c r="AM36" s="195"/>
      <c r="AN36" s="191"/>
      <c r="AO36" s="191" t="s">
        <v>243</v>
      </c>
      <c r="AP36" s="193">
        <v>3245.7574215420436</v>
      </c>
      <c r="AQ36" s="193">
        <v>850.0013869580356</v>
      </c>
      <c r="AR36" s="193">
        <v>0</v>
      </c>
      <c r="AS36" s="193">
        <v>0</v>
      </c>
      <c r="AT36" s="193">
        <v>850.0013869580356</v>
      </c>
      <c r="AU36" s="193">
        <v>244.7280349388401</v>
      </c>
      <c r="AV36" s="193">
        <v>6.9651428571428572E-3</v>
      </c>
      <c r="AW36" s="193">
        <v>8.1942857142857147E-3</v>
      </c>
      <c r="AX36" s="193">
        <v>247.34406065312584</v>
      </c>
      <c r="AY36" s="193">
        <v>0.11195571428571427</v>
      </c>
      <c r="AZ36" s="193">
        <v>2.3626857142857141</v>
      </c>
      <c r="BA36" s="193">
        <v>4.7117142857142857E-2</v>
      </c>
      <c r="BB36" s="193">
        <v>2.6031142857142857E-2</v>
      </c>
      <c r="BC36" s="193">
        <v>1.2421428571428571E-2</v>
      </c>
      <c r="BD36" s="193">
        <v>1.1735439215710963E-3</v>
      </c>
    </row>
    <row r="37" spans="1:56">
      <c r="A37" s="195"/>
      <c r="B37" s="196"/>
      <c r="C37" s="191" t="s">
        <v>244</v>
      </c>
      <c r="D37" s="192">
        <v>632.74927705959908</v>
      </c>
      <c r="E37" s="192">
        <v>592.19963095937544</v>
      </c>
      <c r="F37" s="192">
        <v>223.40683084924885</v>
      </c>
      <c r="G37" s="192">
        <v>242.87483540154989</v>
      </c>
      <c r="H37" s="192">
        <v>125.91796470857669</v>
      </c>
      <c r="I37" s="192">
        <v>47.40363444652791</v>
      </c>
      <c r="J37" s="193">
        <v>8.2213299701751355E-2</v>
      </c>
      <c r="K37" s="193">
        <v>5.4867086955284565E-4</v>
      </c>
      <c r="L37" s="192">
        <v>49.62247085819844</v>
      </c>
      <c r="M37" s="193">
        <v>0.20637027837064206</v>
      </c>
      <c r="N37" s="193">
        <v>0.24962827450486438</v>
      </c>
      <c r="O37" s="193">
        <v>7.505494729309016E-2</v>
      </c>
      <c r="P37" s="193">
        <v>8.1869485998395594E-2</v>
      </c>
      <c r="Q37" s="193">
        <v>3.256749688005809E-2</v>
      </c>
      <c r="R37" s="193">
        <v>0.13740756474092966</v>
      </c>
      <c r="S37" s="193"/>
      <c r="T37" s="193"/>
      <c r="U37" s="191"/>
      <c r="V37" s="191" t="s">
        <v>244</v>
      </c>
      <c r="W37" s="193">
        <v>632.74927705959908</v>
      </c>
      <c r="X37" s="193">
        <v>592.19963095937544</v>
      </c>
      <c r="Y37" s="193">
        <v>223.40683084924885</v>
      </c>
      <c r="Z37" s="193">
        <v>242.87483540154989</v>
      </c>
      <c r="AA37" s="193">
        <v>125.91796470857669</v>
      </c>
      <c r="AB37" s="193">
        <v>47.40363444652791</v>
      </c>
      <c r="AC37" s="193">
        <v>8.2213299701751355E-2</v>
      </c>
      <c r="AD37" s="193">
        <v>5.4867086955284565E-4</v>
      </c>
      <c r="AE37" s="193">
        <v>49.62247085819844</v>
      </c>
      <c r="AF37" s="193">
        <v>0.20637027837064206</v>
      </c>
      <c r="AG37" s="193">
        <v>0.24962827450486438</v>
      </c>
      <c r="AH37" s="193">
        <v>7.505494729309016E-2</v>
      </c>
      <c r="AI37" s="193">
        <v>8.1869485998395594E-2</v>
      </c>
      <c r="AJ37" s="193">
        <v>3.256749688005809E-2</v>
      </c>
      <c r="AK37" s="193">
        <v>0.13740756474092966</v>
      </c>
      <c r="AL37" s="191"/>
      <c r="AM37" s="195"/>
      <c r="AN37" s="191"/>
      <c r="AO37" s="191" t="s">
        <v>244</v>
      </c>
      <c r="AP37" s="193">
        <v>632.74927705959908</v>
      </c>
      <c r="AQ37" s="193">
        <v>592.19963095937544</v>
      </c>
      <c r="AR37" s="193">
        <v>223.40683084924885</v>
      </c>
      <c r="AS37" s="193">
        <v>242.87483540154989</v>
      </c>
      <c r="AT37" s="193">
        <v>125.91796470857669</v>
      </c>
      <c r="AU37" s="193">
        <v>47.40363444652791</v>
      </c>
      <c r="AV37" s="193">
        <v>8.2213299701751355E-2</v>
      </c>
      <c r="AW37" s="193">
        <v>5.4867086955284565E-4</v>
      </c>
      <c r="AX37" s="193">
        <v>49.62247085819844</v>
      </c>
      <c r="AY37" s="193">
        <v>0.20637027837064206</v>
      </c>
      <c r="AZ37" s="193">
        <v>0.24962827450486438</v>
      </c>
      <c r="BA37" s="193">
        <v>7.505494729309016E-2</v>
      </c>
      <c r="BB37" s="193">
        <v>8.1869485998395594E-2</v>
      </c>
      <c r="BC37" s="193">
        <v>3.256749688005809E-2</v>
      </c>
      <c r="BD37" s="193">
        <v>0.13740756474092966</v>
      </c>
    </row>
    <row r="38" spans="1:56">
      <c r="A38" s="195"/>
      <c r="B38" s="196" t="s">
        <v>2177</v>
      </c>
      <c r="C38" s="191" t="s">
        <v>23</v>
      </c>
      <c r="D38" s="192">
        <v>898.18542492945767</v>
      </c>
      <c r="E38" s="192">
        <v>869.21640226884483</v>
      </c>
      <c r="F38" s="192">
        <v>143.44594870388622</v>
      </c>
      <c r="G38" s="192">
        <v>228.18202212680353</v>
      </c>
      <c r="H38" s="192">
        <v>497.58843143815511</v>
      </c>
      <c r="I38" s="192">
        <v>-212.01629759095917</v>
      </c>
      <c r="J38" s="193">
        <v>0.22110224853192742</v>
      </c>
      <c r="K38" s="193">
        <v>0.21082883318806067</v>
      </c>
      <c r="L38" s="192">
        <v>-143.66174908761889</v>
      </c>
      <c r="M38" s="193">
        <v>-0.13967704193949812</v>
      </c>
      <c r="N38" s="193">
        <v>0.23316488702720317</v>
      </c>
      <c r="O38" s="193">
        <v>0.58246615669368917</v>
      </c>
      <c r="P38" s="193">
        <v>5.5210175914261139E-2</v>
      </c>
      <c r="Q38" s="193">
        <v>3.184215667579518E-2</v>
      </c>
      <c r="R38" s="193">
        <v>0.29405845472842307</v>
      </c>
      <c r="S38" s="193"/>
      <c r="T38" s="193"/>
      <c r="U38" s="191" t="s">
        <v>2177</v>
      </c>
      <c r="V38" s="191" t="s">
        <v>23</v>
      </c>
      <c r="W38" s="193">
        <v>736.8914304668067</v>
      </c>
      <c r="X38" s="193">
        <v>717.3224746247522</v>
      </c>
      <c r="Y38" s="193">
        <v>104.63608484120795</v>
      </c>
      <c r="Z38" s="193">
        <v>213.30700433850387</v>
      </c>
      <c r="AA38" s="193">
        <v>399.37938544762363</v>
      </c>
      <c r="AB38" s="193">
        <v>-198.12629446563318</v>
      </c>
      <c r="AC38" s="193">
        <v>0.19166908293600982</v>
      </c>
      <c r="AD38" s="193">
        <v>0.15881677942603784</v>
      </c>
      <c r="AE38" s="193">
        <v>-146.00716712327366</v>
      </c>
      <c r="AF38" s="193">
        <v>-0.12044724924790581</v>
      </c>
      <c r="AG38" s="193">
        <v>0.11325602640915651</v>
      </c>
      <c r="AH38" s="193">
        <v>0.33817862209276356</v>
      </c>
      <c r="AI38" s="193">
        <v>3.3219193616700816E-2</v>
      </c>
      <c r="AJ38" s="193">
        <v>1.7075458091549735E-2</v>
      </c>
      <c r="AK38" s="193">
        <v>0.18674352915286449</v>
      </c>
      <c r="AL38" s="191"/>
      <c r="AM38" s="195"/>
      <c r="AN38" s="191" t="s">
        <v>2177</v>
      </c>
      <c r="AO38" s="191" t="s">
        <v>23</v>
      </c>
      <c r="AP38" s="193">
        <v>503.19157680447654</v>
      </c>
      <c r="AQ38" s="193">
        <v>489.8287755294736</v>
      </c>
      <c r="AR38" s="193">
        <v>71.45149793442485</v>
      </c>
      <c r="AS38" s="193">
        <v>145.65821153400694</v>
      </c>
      <c r="AT38" s="193">
        <v>272.71906606280584</v>
      </c>
      <c r="AU38" s="193">
        <v>-135.29195536367521</v>
      </c>
      <c r="AV38" s="193">
        <v>0.13088260234773241</v>
      </c>
      <c r="AW38" s="193">
        <v>0.10844917223663726</v>
      </c>
      <c r="AX38" s="193">
        <v>-99.702036978464008</v>
      </c>
      <c r="AY38" s="193">
        <v>-8.2248264486427108E-2</v>
      </c>
      <c r="AZ38" s="193">
        <v>7.7337686605109729E-2</v>
      </c>
      <c r="BA38" s="193">
        <v>0.23092768765762997</v>
      </c>
      <c r="BB38" s="193">
        <v>2.2683963641118556E-2</v>
      </c>
      <c r="BC38" s="193">
        <v>1.1660098525372533E-2</v>
      </c>
      <c r="BD38" s="193">
        <v>0.12751915276438461</v>
      </c>
    </row>
    <row r="39" spans="1:56">
      <c r="A39" s="195"/>
      <c r="B39" s="196"/>
      <c r="C39" s="191" t="s">
        <v>24</v>
      </c>
      <c r="D39" s="192">
        <v>6386.1712593914599</v>
      </c>
      <c r="E39" s="192">
        <v>2797.664026528224</v>
      </c>
      <c r="F39" s="192">
        <v>1000.8728023607609</v>
      </c>
      <c r="G39" s="192">
        <v>1596.2316115107201</v>
      </c>
      <c r="H39" s="192">
        <v>200.55961265674293</v>
      </c>
      <c r="I39" s="192">
        <v>220.94390466559415</v>
      </c>
      <c r="J39" s="193">
        <v>0.42430577138404263</v>
      </c>
      <c r="K39" s="193">
        <v>4.1686444944112012E-3</v>
      </c>
      <c r="L39" s="192">
        <v>232.79380500952976</v>
      </c>
      <c r="M39" s="193">
        <v>0.25004129135925146</v>
      </c>
      <c r="N39" s="193">
        <v>0.17047183579789285</v>
      </c>
      <c r="O39" s="193">
        <v>0.41306708738962944</v>
      </c>
      <c r="P39" s="193">
        <v>0.34008778927274858</v>
      </c>
      <c r="Q39" s="193">
        <v>0.11671446886483985</v>
      </c>
      <c r="R39" s="193">
        <v>0.39541941957275328</v>
      </c>
      <c r="S39" s="193"/>
      <c r="T39" s="193"/>
      <c r="U39" s="191"/>
      <c r="V39" s="191" t="s">
        <v>24</v>
      </c>
      <c r="W39" s="193">
        <v>5770.0805523494282</v>
      </c>
      <c r="X39" s="193">
        <v>2530.0713022333262</v>
      </c>
      <c r="Y39" s="193">
        <v>901.57529329621127</v>
      </c>
      <c r="Z39" s="193">
        <v>1446.0947383249281</v>
      </c>
      <c r="AA39" s="193">
        <v>182.40127061449303</v>
      </c>
      <c r="AB39" s="193">
        <v>199.71113540422405</v>
      </c>
      <c r="AC39" s="193">
        <v>0.38341922630822339</v>
      </c>
      <c r="AD39" s="193">
        <v>5.1367111711866798E-3</v>
      </c>
      <c r="AE39" s="193">
        <v>210.82735599094326</v>
      </c>
      <c r="AF39" s="193">
        <v>0.22161528009234235</v>
      </c>
      <c r="AG39" s="193">
        <v>0.12509005718302657</v>
      </c>
      <c r="AH39" s="193">
        <v>0.24919866910435237</v>
      </c>
      <c r="AI39" s="193">
        <v>0.26985223162086319</v>
      </c>
      <c r="AJ39" s="193">
        <v>8.6310007320375207E-2</v>
      </c>
      <c r="AK39" s="193">
        <v>0.13063662910899138</v>
      </c>
      <c r="AL39" s="191"/>
      <c r="AM39" s="195"/>
      <c r="AN39" s="191"/>
      <c r="AO39" s="191" t="s">
        <v>24</v>
      </c>
      <c r="AP39" s="193">
        <v>3940.1407200328949</v>
      </c>
      <c r="AQ39" s="193">
        <v>1727.6772606678999</v>
      </c>
      <c r="AR39" s="193">
        <v>615.64712885084134</v>
      </c>
      <c r="AS39" s="193">
        <v>987.476121313308</v>
      </c>
      <c r="AT39" s="193">
        <v>124.55401050532524</v>
      </c>
      <c r="AU39" s="193">
        <v>136.37417531888443</v>
      </c>
      <c r="AV39" s="193">
        <v>0.26182055739332966</v>
      </c>
      <c r="AW39" s="193">
        <v>3.5076399140389039E-3</v>
      </c>
      <c r="AX39" s="193">
        <v>143.96496594810125</v>
      </c>
      <c r="AY39" s="193">
        <v>0.15133157697734234</v>
      </c>
      <c r="AZ39" s="193">
        <v>8.5418639047838141E-2</v>
      </c>
      <c r="BA39" s="193">
        <v>0.17016709118840062</v>
      </c>
      <c r="BB39" s="193">
        <v>0.18427052387824658</v>
      </c>
      <c r="BC39" s="193">
        <v>5.8937404998770496E-2</v>
      </c>
      <c r="BD39" s="193">
        <v>8.9206155305854101E-2</v>
      </c>
    </row>
    <row r="40" spans="1:56">
      <c r="A40" s="195"/>
      <c r="B40" s="196"/>
      <c r="C40" s="191" t="s">
        <v>243</v>
      </c>
      <c r="D40" s="192">
        <v>5334.2142784208345</v>
      </c>
      <c r="E40" s="192">
        <v>1411.5548362083096</v>
      </c>
      <c r="F40" s="192">
        <v>0</v>
      </c>
      <c r="G40" s="192">
        <v>0</v>
      </c>
      <c r="H40" s="192">
        <v>1411.5548362083096</v>
      </c>
      <c r="I40" s="192">
        <v>402.2804356389081</v>
      </c>
      <c r="J40" s="193">
        <v>1.7680000000000001E-2</v>
      </c>
      <c r="K40" s="193">
        <v>1.2E-2</v>
      </c>
      <c r="L40" s="192">
        <v>406.29843563890807</v>
      </c>
      <c r="M40" s="193">
        <v>0.21604999999999999</v>
      </c>
      <c r="N40" s="193">
        <v>4.6890000000000001</v>
      </c>
      <c r="O40" s="193">
        <v>0.3</v>
      </c>
      <c r="P40" s="193">
        <v>2.93E-2</v>
      </c>
      <c r="Q40" s="193">
        <v>1.54E-2</v>
      </c>
      <c r="R40" s="193">
        <v>2.0707466151465006E-3</v>
      </c>
      <c r="S40" s="193"/>
      <c r="T40" s="193"/>
      <c r="U40" s="191"/>
      <c r="V40" s="191" t="s">
        <v>243</v>
      </c>
      <c r="W40" s="193">
        <v>4753.2012449360473</v>
      </c>
      <c r="X40" s="193">
        <v>1244.7719055870814</v>
      </c>
      <c r="Y40" s="193">
        <v>0</v>
      </c>
      <c r="Z40" s="193">
        <v>0</v>
      </c>
      <c r="AA40" s="193">
        <v>1244.7719055870814</v>
      </c>
      <c r="AB40" s="193">
        <v>358.38833568449388</v>
      </c>
      <c r="AC40" s="193">
        <v>1.0200000000000001E-2</v>
      </c>
      <c r="AD40" s="193">
        <v>1.2E-2</v>
      </c>
      <c r="AE40" s="193">
        <v>362.2193356844939</v>
      </c>
      <c r="AF40" s="193">
        <v>0.14144999999999999</v>
      </c>
      <c r="AG40" s="193">
        <v>3.46</v>
      </c>
      <c r="AH40" s="193">
        <v>6.9000000000000006E-2</v>
      </c>
      <c r="AI40" s="193">
        <v>2.86E-2</v>
      </c>
      <c r="AJ40" s="193">
        <v>1.4800000000000001E-2</v>
      </c>
      <c r="AK40" s="193">
        <v>1.7185789646438651E-3</v>
      </c>
      <c r="AL40" s="191"/>
      <c r="AM40" s="195"/>
      <c r="AN40" s="191"/>
      <c r="AO40" s="191" t="s">
        <v>243</v>
      </c>
      <c r="AP40" s="193">
        <v>3245.7574215420436</v>
      </c>
      <c r="AQ40" s="193">
        <v>850.0013869580356</v>
      </c>
      <c r="AR40" s="193">
        <v>0</v>
      </c>
      <c r="AS40" s="193">
        <v>0</v>
      </c>
      <c r="AT40" s="193">
        <v>850.0013869580356</v>
      </c>
      <c r="AU40" s="193">
        <v>244.7280349388401</v>
      </c>
      <c r="AV40" s="193">
        <v>6.9651428571428572E-3</v>
      </c>
      <c r="AW40" s="193">
        <v>8.1942857142857147E-3</v>
      </c>
      <c r="AX40" s="193">
        <v>247.34406065312584</v>
      </c>
      <c r="AY40" s="193">
        <v>0.11195571428571427</v>
      </c>
      <c r="AZ40" s="193">
        <v>2.3626857142857141</v>
      </c>
      <c r="BA40" s="193">
        <v>4.7117142857142857E-2</v>
      </c>
      <c r="BB40" s="193">
        <v>2.6031142857142857E-2</v>
      </c>
      <c r="BC40" s="193">
        <v>1.2421428571428571E-2</v>
      </c>
      <c r="BD40" s="193">
        <v>1.1735439215710963E-3</v>
      </c>
    </row>
    <row r="41" spans="1:56">
      <c r="A41" s="195"/>
      <c r="B41" s="196"/>
      <c r="C41" s="191" t="s">
        <v>244</v>
      </c>
      <c r="D41" s="192">
        <v>632.74927705959908</v>
      </c>
      <c r="E41" s="192">
        <v>592.19963095937544</v>
      </c>
      <c r="F41" s="192">
        <v>223.40683084924885</v>
      </c>
      <c r="G41" s="192">
        <v>242.87483540154989</v>
      </c>
      <c r="H41" s="192">
        <v>125.91796470857669</v>
      </c>
      <c r="I41" s="192">
        <v>47.40363444652791</v>
      </c>
      <c r="J41" s="193">
        <v>8.2213299701751355E-2</v>
      </c>
      <c r="K41" s="193">
        <v>5.4867086955284565E-4</v>
      </c>
      <c r="L41" s="192">
        <v>49.62247085819844</v>
      </c>
      <c r="M41" s="193">
        <v>0.20637027837064206</v>
      </c>
      <c r="N41" s="193">
        <v>0.24962827450486438</v>
      </c>
      <c r="O41" s="193">
        <v>7.505494729309016E-2</v>
      </c>
      <c r="P41" s="193">
        <v>8.1869485998395594E-2</v>
      </c>
      <c r="Q41" s="193">
        <v>3.256749688005809E-2</v>
      </c>
      <c r="R41" s="193">
        <v>0.13740756474092966</v>
      </c>
      <c r="S41" s="193"/>
      <c r="T41" s="193"/>
      <c r="U41" s="191"/>
      <c r="V41" s="191" t="s">
        <v>244</v>
      </c>
      <c r="W41" s="193">
        <v>632.74927705959908</v>
      </c>
      <c r="X41" s="193">
        <v>592.19963095937544</v>
      </c>
      <c r="Y41" s="193">
        <v>223.40683084924885</v>
      </c>
      <c r="Z41" s="193">
        <v>242.87483540154989</v>
      </c>
      <c r="AA41" s="193">
        <v>125.91796470857669</v>
      </c>
      <c r="AB41" s="193">
        <v>47.40363444652791</v>
      </c>
      <c r="AC41" s="193">
        <v>8.2213299701751355E-2</v>
      </c>
      <c r="AD41" s="193">
        <v>5.4867086955284565E-4</v>
      </c>
      <c r="AE41" s="193">
        <v>49.62247085819844</v>
      </c>
      <c r="AF41" s="193">
        <v>0.20637027837064206</v>
      </c>
      <c r="AG41" s="193">
        <v>0.24962827450486438</v>
      </c>
      <c r="AH41" s="193">
        <v>7.505494729309016E-2</v>
      </c>
      <c r="AI41" s="193">
        <v>8.1869485998395594E-2</v>
      </c>
      <c r="AJ41" s="193">
        <v>3.256749688005809E-2</v>
      </c>
      <c r="AK41" s="193">
        <v>0.13740756474092966</v>
      </c>
      <c r="AL41" s="191"/>
      <c r="AM41" s="195"/>
      <c r="AN41" s="191"/>
      <c r="AO41" s="191" t="s">
        <v>244</v>
      </c>
      <c r="AP41" s="193">
        <v>632.74927705959908</v>
      </c>
      <c r="AQ41" s="193">
        <v>592.19963095937544</v>
      </c>
      <c r="AR41" s="193">
        <v>223.40683084924885</v>
      </c>
      <c r="AS41" s="193">
        <v>242.87483540154989</v>
      </c>
      <c r="AT41" s="193">
        <v>125.91796470857669</v>
      </c>
      <c r="AU41" s="193">
        <v>47.40363444652791</v>
      </c>
      <c r="AV41" s="193">
        <v>8.2213299701751355E-2</v>
      </c>
      <c r="AW41" s="193">
        <v>5.4867086955284565E-4</v>
      </c>
      <c r="AX41" s="193">
        <v>49.62247085819844</v>
      </c>
      <c r="AY41" s="193">
        <v>0.20637027837064206</v>
      </c>
      <c r="AZ41" s="193">
        <v>0.24962827450486438</v>
      </c>
      <c r="BA41" s="193">
        <v>7.505494729309016E-2</v>
      </c>
      <c r="BB41" s="193">
        <v>8.1869485998395594E-2</v>
      </c>
      <c r="BC41" s="193">
        <v>3.256749688005809E-2</v>
      </c>
      <c r="BD41" s="193">
        <v>0.13740756474092966</v>
      </c>
    </row>
    <row r="42" spans="1:56">
      <c r="A42" s="195"/>
      <c r="B42" s="196" t="s">
        <v>2178</v>
      </c>
      <c r="C42" s="191" t="s">
        <v>23</v>
      </c>
      <c r="D42" s="192">
        <v>569.74216244306069</v>
      </c>
      <c r="E42" s="192">
        <v>559.77267416003099</v>
      </c>
      <c r="F42" s="192">
        <v>49.375317650958529</v>
      </c>
      <c r="G42" s="192">
        <v>294.18642094121793</v>
      </c>
      <c r="H42" s="192">
        <v>216.21093556785419</v>
      </c>
      <c r="I42" s="192">
        <v>-281.64431235546186</v>
      </c>
      <c r="J42" s="193">
        <v>0.1677554432936838</v>
      </c>
      <c r="K42" s="193">
        <v>0.13684302368445145</v>
      </c>
      <c r="L42" s="192">
        <v>-236.67120521515324</v>
      </c>
      <c r="M42" s="193">
        <v>5.66285950392659E-2</v>
      </c>
      <c r="N42" s="193">
        <v>0.1132809884827895</v>
      </c>
      <c r="O42" s="193">
        <v>0.28720233891636943</v>
      </c>
      <c r="P42" s="193">
        <v>2.4057645127383828E-2</v>
      </c>
      <c r="Q42" s="193">
        <v>1.5637547074728027E-2</v>
      </c>
      <c r="R42" s="193">
        <v>5.8383264616642255E-2</v>
      </c>
      <c r="S42" s="193"/>
      <c r="T42" s="193"/>
      <c r="U42" s="191" t="s">
        <v>2178</v>
      </c>
      <c r="V42" s="191" t="s">
        <v>23</v>
      </c>
      <c r="W42" s="193">
        <v>477.0445145944712</v>
      </c>
      <c r="X42" s="193">
        <v>470.1236617412448</v>
      </c>
      <c r="Y42" s="193">
        <v>37.542639429588199</v>
      </c>
      <c r="Z42" s="193">
        <v>263.82879566852597</v>
      </c>
      <c r="AA42" s="193">
        <v>168.75222664489516</v>
      </c>
      <c r="AB42" s="193">
        <v>-252.30872404467709</v>
      </c>
      <c r="AC42" s="193">
        <v>0.14772132497661719</v>
      </c>
      <c r="AD42" s="193">
        <v>0.10495981518815951</v>
      </c>
      <c r="AE42" s="193">
        <v>-217.33766599419013</v>
      </c>
      <c r="AF42" s="193">
        <v>3.827595662006987E-2</v>
      </c>
      <c r="AG42" s="193">
        <v>5.5513140810091878E-2</v>
      </c>
      <c r="AH42" s="193">
        <v>0.15975854397294084</v>
      </c>
      <c r="AI42" s="193">
        <v>1.2231987716472442E-2</v>
      </c>
      <c r="AJ42" s="193">
        <v>6.5350706171756505E-3</v>
      </c>
      <c r="AK42" s="193">
        <v>2.7079270294053284E-2</v>
      </c>
      <c r="AL42" s="191"/>
      <c r="AM42" s="195"/>
      <c r="AN42" s="191" t="s">
        <v>2178</v>
      </c>
      <c r="AO42" s="191" t="s">
        <v>23</v>
      </c>
      <c r="AP42" s="193">
        <v>325.75325425165317</v>
      </c>
      <c r="AQ42" s="193">
        <v>321.0273004461643</v>
      </c>
      <c r="AR42" s="193">
        <v>25.636259496204513</v>
      </c>
      <c r="AS42" s="193">
        <v>180.1573776136506</v>
      </c>
      <c r="AT42" s="193">
        <v>115.23366333751412</v>
      </c>
      <c r="AU42" s="193">
        <v>-172.29081441907948</v>
      </c>
      <c r="AV42" s="193">
        <v>0.10087256191260431</v>
      </c>
      <c r="AW42" s="193">
        <v>7.1672559514200346E-2</v>
      </c>
      <c r="AX42" s="193">
        <v>-148.41057763603268</v>
      </c>
      <c r="AY42" s="193">
        <v>2.6137010377704852E-2</v>
      </c>
      <c r="AZ42" s="193">
        <v>3.7907544724605592E-2</v>
      </c>
      <c r="BA42" s="193">
        <v>0.10909226288437959</v>
      </c>
      <c r="BB42" s="193">
        <v>8.352700183534038E-3</v>
      </c>
      <c r="BC42" s="193">
        <v>4.4625196500142298E-3</v>
      </c>
      <c r="BD42" s="193">
        <v>1.8491273143653529E-2</v>
      </c>
    </row>
    <row r="43" spans="1:56">
      <c r="A43" s="195"/>
      <c r="B43" s="196"/>
      <c r="C43" s="191" t="s">
        <v>24</v>
      </c>
      <c r="D43" s="192">
        <v>4618.3347936769496</v>
      </c>
      <c r="E43" s="192">
        <v>91.690597502979969</v>
      </c>
      <c r="F43" s="192">
        <v>-117.35507836366709</v>
      </c>
      <c r="G43" s="192">
        <v>30.475713519017262</v>
      </c>
      <c r="H43" s="192">
        <v>178.56996234762957</v>
      </c>
      <c r="I43" s="192">
        <v>3.2946042794357564</v>
      </c>
      <c r="J43" s="193">
        <v>1.179515128452498E-2</v>
      </c>
      <c r="K43" s="193">
        <v>3.8244826084898452E-2</v>
      </c>
      <c r="L43" s="192">
        <v>14.98644123484862</v>
      </c>
      <c r="M43" s="193">
        <v>0.1885891311568712</v>
      </c>
      <c r="N43" s="193">
        <v>0.27982242080052511</v>
      </c>
      <c r="O43" s="193">
        <v>0.4494737376006826</v>
      </c>
      <c r="P43" s="193">
        <v>7.2856515043965314E-2</v>
      </c>
      <c r="Q43" s="193">
        <v>2.7873763025928484E-2</v>
      </c>
      <c r="R43" s="193">
        <v>-2.0812444515030368E-2</v>
      </c>
      <c r="S43" s="193"/>
      <c r="T43" s="193"/>
      <c r="U43" s="191"/>
      <c r="V43" s="191" t="s">
        <v>24</v>
      </c>
      <c r="W43" s="193">
        <v>3121.502488612824</v>
      </c>
      <c r="X43" s="193">
        <v>100.56768848429043</v>
      </c>
      <c r="Y43" s="193">
        <v>-85.38629723682341</v>
      </c>
      <c r="Z43" s="193">
        <v>22.633092715404615</v>
      </c>
      <c r="AA43" s="193">
        <v>163.3208930071475</v>
      </c>
      <c r="AB43" s="193">
        <v>5.1471681188730507</v>
      </c>
      <c r="AC43" s="193">
        <v>1.0453330247019959E-2</v>
      </c>
      <c r="AD43" s="193">
        <v>3.0765426996492939E-2</v>
      </c>
      <c r="AE43" s="193">
        <v>14.576598620003445</v>
      </c>
      <c r="AF43" s="193">
        <v>0.16693422161299598</v>
      </c>
      <c r="AG43" s="193">
        <v>0.21538920428204766</v>
      </c>
      <c r="AH43" s="193">
        <v>0.34987242440756627</v>
      </c>
      <c r="AI43" s="193">
        <v>6.2269188761632975E-2</v>
      </c>
      <c r="AJ43" s="193">
        <v>2.2243917209545296E-2</v>
      </c>
      <c r="AK43" s="193">
        <v>5.0083389492945694E-4</v>
      </c>
      <c r="AL43" s="191"/>
      <c r="AM43" s="195"/>
      <c r="AN43" s="191"/>
      <c r="AO43" s="191" t="s">
        <v>24</v>
      </c>
      <c r="AP43" s="193">
        <v>2131.5402707956141</v>
      </c>
      <c r="AQ43" s="193">
        <v>68.673364422129751</v>
      </c>
      <c r="AR43" s="193">
        <v>-58.306642970287982</v>
      </c>
      <c r="AS43" s="193">
        <v>15.455169025662007</v>
      </c>
      <c r="AT43" s="193">
        <v>111.52483836773786</v>
      </c>
      <c r="AU43" s="193">
        <v>3.5147805154590257</v>
      </c>
      <c r="AV43" s="193">
        <v>7.1381312258222002E-3</v>
      </c>
      <c r="AW43" s="193">
        <v>2.1008391577605177E-2</v>
      </c>
      <c r="AX43" s="193">
        <v>9.9537344862309229</v>
      </c>
      <c r="AY43" s="193">
        <v>0.11399222561573154</v>
      </c>
      <c r="AZ43" s="193">
        <v>0.14708005663831253</v>
      </c>
      <c r="BA43" s="193">
        <v>0.23891288409545239</v>
      </c>
      <c r="BB43" s="193">
        <v>4.25209603258008E-2</v>
      </c>
      <c r="BC43" s="193">
        <v>1.518941775166093E-2</v>
      </c>
      <c r="BD43" s="193">
        <v>3.4199800253754346E-4</v>
      </c>
    </row>
    <row r="44" spans="1:56">
      <c r="A44" s="195"/>
      <c r="B44" s="196"/>
      <c r="C44" s="191" t="s">
        <v>243</v>
      </c>
      <c r="D44" s="192">
        <v>5334.2142784208345</v>
      </c>
      <c r="E44" s="192">
        <v>1411.5548362083096</v>
      </c>
      <c r="F44" s="192">
        <v>0</v>
      </c>
      <c r="G44" s="192">
        <v>0</v>
      </c>
      <c r="H44" s="192">
        <v>1411.5548362083096</v>
      </c>
      <c r="I44" s="192">
        <v>402.2804356389081</v>
      </c>
      <c r="J44" s="193">
        <v>1.7680000000000001E-2</v>
      </c>
      <c r="K44" s="193">
        <v>1.2E-2</v>
      </c>
      <c r="L44" s="192">
        <v>406.29843563890807</v>
      </c>
      <c r="M44" s="193">
        <v>0.21604999999999999</v>
      </c>
      <c r="N44" s="193">
        <v>4.6890000000000001</v>
      </c>
      <c r="O44" s="193">
        <v>0.3</v>
      </c>
      <c r="P44" s="193">
        <v>2.93E-2</v>
      </c>
      <c r="Q44" s="193">
        <v>1.54E-2</v>
      </c>
      <c r="R44" s="193">
        <v>3.2991921975734392E-3</v>
      </c>
      <c r="S44" s="193"/>
      <c r="T44" s="193"/>
      <c r="U44" s="191"/>
      <c r="V44" s="191" t="s">
        <v>243</v>
      </c>
      <c r="W44" s="193">
        <v>4753.2012449360473</v>
      </c>
      <c r="X44" s="193">
        <v>1244.7719055870814</v>
      </c>
      <c r="Y44" s="193">
        <v>0</v>
      </c>
      <c r="Z44" s="193">
        <v>0</v>
      </c>
      <c r="AA44" s="193">
        <v>1244.7719055870814</v>
      </c>
      <c r="AB44" s="193">
        <v>358.38833568449388</v>
      </c>
      <c r="AC44" s="193">
        <v>1.0200000000000001E-2</v>
      </c>
      <c r="AD44" s="193">
        <v>1.2E-2</v>
      </c>
      <c r="AE44" s="193">
        <v>362.2193356844939</v>
      </c>
      <c r="AF44" s="193">
        <v>0.14144999999999999</v>
      </c>
      <c r="AG44" s="193">
        <v>3.46</v>
      </c>
      <c r="AH44" s="193">
        <v>6.9000000000000006E-2</v>
      </c>
      <c r="AI44" s="193">
        <v>2.86E-2</v>
      </c>
      <c r="AJ44" s="193">
        <v>1.4800000000000001E-2</v>
      </c>
      <c r="AK44" s="193">
        <v>2.9546418729862263E-3</v>
      </c>
      <c r="AL44" s="191"/>
      <c r="AM44" s="195"/>
      <c r="AN44" s="191"/>
      <c r="AO44" s="191" t="s">
        <v>243</v>
      </c>
      <c r="AP44" s="193">
        <v>3245.7574215420436</v>
      </c>
      <c r="AQ44" s="193">
        <v>850.0013869580356</v>
      </c>
      <c r="AR44" s="193">
        <v>0</v>
      </c>
      <c r="AS44" s="193">
        <v>0</v>
      </c>
      <c r="AT44" s="193">
        <v>850.0013869580356</v>
      </c>
      <c r="AU44" s="193">
        <v>244.7280349388401</v>
      </c>
      <c r="AV44" s="193">
        <v>6.9651428571428572E-3</v>
      </c>
      <c r="AW44" s="193">
        <v>8.1942857142857147E-3</v>
      </c>
      <c r="AX44" s="193">
        <v>247.34406065312584</v>
      </c>
      <c r="AY44" s="193">
        <v>0.11195571428571427</v>
      </c>
      <c r="AZ44" s="193">
        <v>2.3626857142857141</v>
      </c>
      <c r="BA44" s="193">
        <v>4.7117142857142857E-2</v>
      </c>
      <c r="BB44" s="193">
        <v>2.6031142857142857E-2</v>
      </c>
      <c r="BC44" s="193">
        <v>1.2421428571428571E-2</v>
      </c>
      <c r="BD44" s="193">
        <v>2.0175983075534517E-3</v>
      </c>
    </row>
    <row r="45" spans="1:56">
      <c r="A45" s="195"/>
      <c r="B45" s="196"/>
      <c r="C45" s="191" t="s">
        <v>244</v>
      </c>
      <c r="D45" s="192">
        <v>632.74927705959908</v>
      </c>
      <c r="E45" s="192">
        <v>592.19963095937544</v>
      </c>
      <c r="F45" s="192">
        <v>223.40683084924885</v>
      </c>
      <c r="G45" s="192">
        <v>242.87483540154989</v>
      </c>
      <c r="H45" s="192">
        <v>125.91796470857669</v>
      </c>
      <c r="I45" s="192">
        <v>47.40363444652791</v>
      </c>
      <c r="J45" s="193">
        <v>8.2213299701751355E-2</v>
      </c>
      <c r="K45" s="193">
        <v>5.4867086955284565E-4</v>
      </c>
      <c r="L45" s="192">
        <v>49.62247085819844</v>
      </c>
      <c r="M45" s="193">
        <v>0.20637027837064206</v>
      </c>
      <c r="N45" s="193">
        <v>0.24962827450486438</v>
      </c>
      <c r="O45" s="193">
        <v>7.505494729309016E-2</v>
      </c>
      <c r="P45" s="193">
        <v>8.1869485998395594E-2</v>
      </c>
      <c r="Q45" s="193">
        <v>3.256749688005809E-2</v>
      </c>
      <c r="R45" s="193">
        <v>0.13740756474092966</v>
      </c>
      <c r="S45" s="193"/>
      <c r="T45" s="193"/>
      <c r="U45" s="191"/>
      <c r="V45" s="191" t="s">
        <v>244</v>
      </c>
      <c r="W45" s="193">
        <v>632.74927705959908</v>
      </c>
      <c r="X45" s="193">
        <v>592.19963095937544</v>
      </c>
      <c r="Y45" s="193">
        <v>223.40683084924885</v>
      </c>
      <c r="Z45" s="193">
        <v>242.87483540154989</v>
      </c>
      <c r="AA45" s="193">
        <v>125.91796470857669</v>
      </c>
      <c r="AB45" s="193">
        <v>47.40363444652791</v>
      </c>
      <c r="AC45" s="193">
        <v>8.2213299701751355E-2</v>
      </c>
      <c r="AD45" s="193">
        <v>5.4867086955284565E-4</v>
      </c>
      <c r="AE45" s="193">
        <v>49.62247085819844</v>
      </c>
      <c r="AF45" s="193">
        <v>0.20637027837064206</v>
      </c>
      <c r="AG45" s="193">
        <v>0.24962827450486438</v>
      </c>
      <c r="AH45" s="193">
        <v>7.505494729309016E-2</v>
      </c>
      <c r="AI45" s="193">
        <v>8.1869485998395594E-2</v>
      </c>
      <c r="AJ45" s="193">
        <v>3.256749688005809E-2</v>
      </c>
      <c r="AK45" s="193">
        <v>0.13740756474092966</v>
      </c>
      <c r="AL45" s="191"/>
      <c r="AM45" s="195"/>
      <c r="AN45" s="191"/>
      <c r="AO45" s="191" t="s">
        <v>244</v>
      </c>
      <c r="AP45" s="193">
        <v>632.74927705959908</v>
      </c>
      <c r="AQ45" s="193">
        <v>592.19963095937544</v>
      </c>
      <c r="AR45" s="193">
        <v>223.40683084924885</v>
      </c>
      <c r="AS45" s="193">
        <v>242.87483540154989</v>
      </c>
      <c r="AT45" s="193">
        <v>125.91796470857669</v>
      </c>
      <c r="AU45" s="193">
        <v>47.40363444652791</v>
      </c>
      <c r="AV45" s="193">
        <v>8.2213299701751355E-2</v>
      </c>
      <c r="AW45" s="193">
        <v>5.4867086955284565E-4</v>
      </c>
      <c r="AX45" s="193">
        <v>49.62247085819844</v>
      </c>
      <c r="AY45" s="193">
        <v>0.20637027837064206</v>
      </c>
      <c r="AZ45" s="193">
        <v>0.24962827450486438</v>
      </c>
      <c r="BA45" s="193">
        <v>7.505494729309016E-2</v>
      </c>
      <c r="BB45" s="193">
        <v>8.1869485998395594E-2</v>
      </c>
      <c r="BC45" s="193">
        <v>3.256749688005809E-2</v>
      </c>
      <c r="BD45" s="193">
        <v>0.13740756474092966</v>
      </c>
    </row>
    <row r="46" spans="1:56">
      <c r="A46" s="195"/>
      <c r="B46" s="196" t="s">
        <v>2179</v>
      </c>
      <c r="C46" s="191" t="s">
        <v>23</v>
      </c>
      <c r="D46" s="192">
        <v>406.79761238924988</v>
      </c>
      <c r="E46" s="192">
        <v>399.2472049421749</v>
      </c>
      <c r="F46" s="192">
        <v>38.110015152725261</v>
      </c>
      <c r="G46" s="192">
        <v>131.78145890491419</v>
      </c>
      <c r="H46" s="192">
        <v>229.35573088453543</v>
      </c>
      <c r="I46" s="192">
        <v>-263.42723199939451</v>
      </c>
      <c r="J46" s="193">
        <v>0.15917937343503694</v>
      </c>
      <c r="K46" s="193">
        <v>-4.7007687513558882E-3</v>
      </c>
      <c r="L46" s="192">
        <v>-260.84857675142263</v>
      </c>
      <c r="M46" s="193">
        <v>3.3363186203942477E-2</v>
      </c>
      <c r="N46" s="193">
        <v>9.9555889140627823E-2</v>
      </c>
      <c r="O46" s="193">
        <v>0.23883420807282776</v>
      </c>
      <c r="P46" s="193">
        <v>2.3685542555663977E-2</v>
      </c>
      <c r="Q46" s="193">
        <v>1.6529604128948425E-2</v>
      </c>
      <c r="R46" s="193">
        <v>0.10778510039476374</v>
      </c>
      <c r="S46" s="193"/>
      <c r="T46" s="193"/>
      <c r="U46" s="191" t="s">
        <v>2179</v>
      </c>
      <c r="V46" s="191" t="s">
        <v>23</v>
      </c>
      <c r="W46" s="193">
        <v>342.19318368342653</v>
      </c>
      <c r="X46" s="193">
        <v>336.86466193474951</v>
      </c>
      <c r="Y46" s="193">
        <v>29.41293790597711</v>
      </c>
      <c r="Z46" s="193">
        <v>137.88416652602169</v>
      </c>
      <c r="AA46" s="193">
        <v>169.56755750427058</v>
      </c>
      <c r="AB46" s="193">
        <v>-239.10627334690912</v>
      </c>
      <c r="AC46" s="193">
        <v>0.14019581254132774</v>
      </c>
      <c r="AD46" s="193">
        <v>-3.5632449483323524E-3</v>
      </c>
      <c r="AE46" s="193">
        <v>-236.66322502797897</v>
      </c>
      <c r="AF46" s="193">
        <v>1.8906863021185941E-2</v>
      </c>
      <c r="AG46" s="193">
        <v>3.8072620862828761E-2</v>
      </c>
      <c r="AH46" s="193">
        <v>0.11014577478008646</v>
      </c>
      <c r="AI46" s="193">
        <v>1.0595889782380548E-2</v>
      </c>
      <c r="AJ46" s="193">
        <v>5.9552265804617109E-3</v>
      </c>
      <c r="AK46" s="193">
        <v>6.4166813348413981E-2</v>
      </c>
      <c r="AL46" s="191"/>
      <c r="AM46" s="195"/>
      <c r="AN46" s="191" t="s">
        <v>2179</v>
      </c>
      <c r="AO46" s="191" t="s">
        <v>23</v>
      </c>
      <c r="AP46" s="193">
        <v>233.66905971525409</v>
      </c>
      <c r="AQ46" s="193">
        <v>230.03044057830036</v>
      </c>
      <c r="AR46" s="193">
        <v>20.084834741510083</v>
      </c>
      <c r="AS46" s="193">
        <v>94.155187999197665</v>
      </c>
      <c r="AT46" s="193">
        <v>115.79041783863047</v>
      </c>
      <c r="AU46" s="193">
        <v>-163.27542665688935</v>
      </c>
      <c r="AV46" s="193">
        <v>9.5733711992506645E-2</v>
      </c>
      <c r="AW46" s="193">
        <v>-2.4331872647183777E-3</v>
      </c>
      <c r="AX46" s="193">
        <v>-161.60717366196278</v>
      </c>
      <c r="AY46" s="193">
        <v>1.2910686463038399E-2</v>
      </c>
      <c r="AZ46" s="193">
        <v>2.5998161103474495E-2</v>
      </c>
      <c r="BA46" s="193">
        <v>7.5213829064116181E-2</v>
      </c>
      <c r="BB46" s="193">
        <v>7.2354790228255743E-3</v>
      </c>
      <c r="BC46" s="193">
        <v>4.0665690078009967E-3</v>
      </c>
      <c r="BD46" s="193">
        <v>4.3816766829345544E-2</v>
      </c>
    </row>
    <row r="47" spans="1:56">
      <c r="A47" s="195"/>
      <c r="B47" s="196"/>
      <c r="C47" s="191" t="s">
        <v>24</v>
      </c>
      <c r="D47" s="192">
        <v>4206.1070700148657</v>
      </c>
      <c r="E47" s="192">
        <v>91.690597502979301</v>
      </c>
      <c r="F47" s="192">
        <v>-117.35507836366698</v>
      </c>
      <c r="G47" s="192">
        <v>30.475713519016693</v>
      </c>
      <c r="H47" s="192">
        <v>178.56996234762957</v>
      </c>
      <c r="I47" s="192">
        <v>3.2963428086376148</v>
      </c>
      <c r="J47" s="193">
        <v>1.1162958847516783E-2</v>
      </c>
      <c r="K47" s="193">
        <v>3.6431024100785275E-2</v>
      </c>
      <c r="L47" s="192">
        <v>14.431861961859546</v>
      </c>
      <c r="M47" s="193">
        <v>0.18770844784803956</v>
      </c>
      <c r="N47" s="193">
        <v>0.26715878512962588</v>
      </c>
      <c r="O47" s="193">
        <v>0.4313357177595511</v>
      </c>
      <c r="P47" s="193">
        <v>7.0768828960251079E-2</v>
      </c>
      <c r="Q47" s="193">
        <v>2.6829919984071356E-2</v>
      </c>
      <c r="R47" s="193">
        <v>-2.1488497981836031E-2</v>
      </c>
      <c r="S47" s="193"/>
      <c r="T47" s="193"/>
      <c r="U47" s="191"/>
      <c r="V47" s="191" t="s">
        <v>24</v>
      </c>
      <c r="W47" s="193">
        <v>2805.4766914292359</v>
      </c>
      <c r="X47" s="193">
        <v>100.56768848429043</v>
      </c>
      <c r="Y47" s="193">
        <v>-85.38629723682341</v>
      </c>
      <c r="Z47" s="193">
        <v>22.633092715404615</v>
      </c>
      <c r="AA47" s="193">
        <v>163.3208930071475</v>
      </c>
      <c r="AB47" s="193">
        <v>5.1485009260701684</v>
      </c>
      <c r="AC47" s="193">
        <v>9.968673084459213E-3</v>
      </c>
      <c r="AD47" s="193">
        <v>2.9374913488885161E-2</v>
      </c>
      <c r="AE47" s="193">
        <v>14.151441972869426</v>
      </c>
      <c r="AF47" s="193">
        <v>0.16625906409989297</v>
      </c>
      <c r="AG47" s="193">
        <v>0.20568089179256779</v>
      </c>
      <c r="AH47" s="193">
        <v>0.33596728933148839</v>
      </c>
      <c r="AI47" s="193">
        <v>6.0668707714376408E-2</v>
      </c>
      <c r="AJ47" s="193">
        <v>2.1443676685917016E-2</v>
      </c>
      <c r="AK47" s="193">
        <v>-1.7448412451628728E-5</v>
      </c>
      <c r="AL47" s="191"/>
      <c r="AM47" s="195"/>
      <c r="AN47" s="191"/>
      <c r="AO47" s="191" t="s">
        <v>24</v>
      </c>
      <c r="AP47" s="193">
        <v>1915.7397978616782</v>
      </c>
      <c r="AQ47" s="193">
        <v>68.673364422129751</v>
      </c>
      <c r="AR47" s="193">
        <v>-58.306642970287982</v>
      </c>
      <c r="AS47" s="193">
        <v>15.455169025662007</v>
      </c>
      <c r="AT47" s="193">
        <v>111.52483836773786</v>
      </c>
      <c r="AU47" s="193">
        <v>3.5156906323736292</v>
      </c>
      <c r="AV47" s="193">
        <v>6.8071796205307197E-3</v>
      </c>
      <c r="AW47" s="193">
        <v>2.0058869496695865E-2</v>
      </c>
      <c r="AX47" s="193">
        <v>9.6634132329022648</v>
      </c>
      <c r="AY47" s="193">
        <v>0.11353118948535548</v>
      </c>
      <c r="AZ47" s="193">
        <v>0.14045066610978199</v>
      </c>
      <c r="BA47" s="193">
        <v>0.22941766328635921</v>
      </c>
      <c r="BB47" s="193">
        <v>4.1428060410674171E-2</v>
      </c>
      <c r="BC47" s="193">
        <v>1.4642967794097619E-2</v>
      </c>
      <c r="BD47" s="193">
        <v>-1.1914773074112189E-5</v>
      </c>
    </row>
    <row r="48" spans="1:56">
      <c r="A48" s="195"/>
      <c r="B48" s="196"/>
      <c r="C48" s="191" t="s">
        <v>243</v>
      </c>
      <c r="D48" s="192">
        <v>5334.2142784208345</v>
      </c>
      <c r="E48" s="192">
        <v>1411.5548362083096</v>
      </c>
      <c r="F48" s="192">
        <v>0</v>
      </c>
      <c r="G48" s="192">
        <v>0</v>
      </c>
      <c r="H48" s="192">
        <v>1411.5548362083096</v>
      </c>
      <c r="I48" s="192">
        <v>402.2804356389081</v>
      </c>
      <c r="J48" s="193">
        <v>1.7680000000000001E-2</v>
      </c>
      <c r="K48" s="193">
        <v>1.2E-2</v>
      </c>
      <c r="L48" s="192">
        <v>406.29843563890807</v>
      </c>
      <c r="M48" s="193">
        <v>0.21604999999999999</v>
      </c>
      <c r="N48" s="193">
        <v>4.6890000000000001</v>
      </c>
      <c r="O48" s="193">
        <v>0.3</v>
      </c>
      <c r="P48" s="193">
        <v>2.93E-2</v>
      </c>
      <c r="Q48" s="193">
        <v>1.54E-2</v>
      </c>
      <c r="R48" s="193">
        <v>1.7636352195397663E-3</v>
      </c>
      <c r="S48" s="193"/>
      <c r="T48" s="193"/>
      <c r="U48" s="191"/>
      <c r="V48" s="191" t="s">
        <v>243</v>
      </c>
      <c r="W48" s="193">
        <v>4753.2012449360473</v>
      </c>
      <c r="X48" s="193">
        <v>1244.7719055870814</v>
      </c>
      <c r="Y48" s="193">
        <v>0</v>
      </c>
      <c r="Z48" s="193">
        <v>0</v>
      </c>
      <c r="AA48" s="193">
        <v>1244.7719055870814</v>
      </c>
      <c r="AB48" s="193">
        <v>358.38833568449388</v>
      </c>
      <c r="AC48" s="193">
        <v>1.0200000000000001E-2</v>
      </c>
      <c r="AD48" s="193">
        <v>1.2E-2</v>
      </c>
      <c r="AE48" s="193">
        <v>362.2193356844939</v>
      </c>
      <c r="AF48" s="193">
        <v>0.14144999999999999</v>
      </c>
      <c r="AG48" s="193">
        <v>3.46</v>
      </c>
      <c r="AH48" s="193">
        <v>6.9000000000000006E-2</v>
      </c>
      <c r="AI48" s="193">
        <v>2.86E-2</v>
      </c>
      <c r="AJ48" s="193">
        <v>1.4800000000000001E-2</v>
      </c>
      <c r="AK48" s="193">
        <v>1.5812386414947139E-3</v>
      </c>
      <c r="AL48" s="191"/>
      <c r="AM48" s="195"/>
      <c r="AN48" s="191"/>
      <c r="AO48" s="191" t="s">
        <v>243</v>
      </c>
      <c r="AP48" s="193">
        <v>3245.7574215420436</v>
      </c>
      <c r="AQ48" s="193">
        <v>850.0013869580356</v>
      </c>
      <c r="AR48" s="193">
        <v>0</v>
      </c>
      <c r="AS48" s="193">
        <v>0</v>
      </c>
      <c r="AT48" s="193">
        <v>850.0013869580356</v>
      </c>
      <c r="AU48" s="193">
        <v>244.7280349388401</v>
      </c>
      <c r="AV48" s="193">
        <v>6.9651428571428572E-3</v>
      </c>
      <c r="AW48" s="193">
        <v>8.1942857142857147E-3</v>
      </c>
      <c r="AX48" s="193">
        <v>247.34406065312584</v>
      </c>
      <c r="AY48" s="193">
        <v>0.11195571428571427</v>
      </c>
      <c r="AZ48" s="193">
        <v>2.3626857142857141</v>
      </c>
      <c r="BA48" s="193">
        <v>4.7117142857142857E-2</v>
      </c>
      <c r="BB48" s="193">
        <v>2.6031142857142857E-2</v>
      </c>
      <c r="BC48" s="193">
        <v>1.2421428571428571E-2</v>
      </c>
      <c r="BD48" s="193">
        <v>1.0797601009063904E-3</v>
      </c>
    </row>
    <row r="49" spans="1:56">
      <c r="A49" s="195"/>
      <c r="B49" s="196"/>
      <c r="C49" s="191" t="s">
        <v>244</v>
      </c>
      <c r="D49" s="192">
        <v>632.74927705959908</v>
      </c>
      <c r="E49" s="192">
        <v>592.19963095937544</v>
      </c>
      <c r="F49" s="192">
        <v>223.40683084924885</v>
      </c>
      <c r="G49" s="192">
        <v>242.87483540154989</v>
      </c>
      <c r="H49" s="192">
        <v>125.91796470857669</v>
      </c>
      <c r="I49" s="192">
        <v>47.40363444652791</v>
      </c>
      <c r="J49" s="193">
        <v>8.2213299701751355E-2</v>
      </c>
      <c r="K49" s="193">
        <v>5.4867086955284565E-4</v>
      </c>
      <c r="L49" s="192">
        <v>49.62247085819844</v>
      </c>
      <c r="M49" s="193">
        <v>0.20637027837064206</v>
      </c>
      <c r="N49" s="193">
        <v>0.24962827450486438</v>
      </c>
      <c r="O49" s="193">
        <v>7.505494729309016E-2</v>
      </c>
      <c r="P49" s="193">
        <v>8.1869485998395594E-2</v>
      </c>
      <c r="Q49" s="193">
        <v>3.256749688005809E-2</v>
      </c>
      <c r="R49" s="193">
        <v>0.13740756474092966</v>
      </c>
      <c r="S49" s="193"/>
      <c r="T49" s="193"/>
      <c r="U49" s="191"/>
      <c r="V49" s="191" t="s">
        <v>244</v>
      </c>
      <c r="W49" s="193">
        <v>632.74927705959908</v>
      </c>
      <c r="X49" s="193">
        <v>592.19963095937544</v>
      </c>
      <c r="Y49" s="193">
        <v>223.40683084924885</v>
      </c>
      <c r="Z49" s="193">
        <v>242.87483540154989</v>
      </c>
      <c r="AA49" s="193">
        <v>125.91796470857669</v>
      </c>
      <c r="AB49" s="193">
        <v>47.40363444652791</v>
      </c>
      <c r="AC49" s="193">
        <v>8.2213299701751355E-2</v>
      </c>
      <c r="AD49" s="193">
        <v>5.4867086955284565E-4</v>
      </c>
      <c r="AE49" s="193">
        <v>49.62247085819844</v>
      </c>
      <c r="AF49" s="193">
        <v>0.20637027837064206</v>
      </c>
      <c r="AG49" s="193">
        <v>0.24962827450486438</v>
      </c>
      <c r="AH49" s="193">
        <v>7.505494729309016E-2</v>
      </c>
      <c r="AI49" s="193">
        <v>8.1869485998395594E-2</v>
      </c>
      <c r="AJ49" s="193">
        <v>3.256749688005809E-2</v>
      </c>
      <c r="AK49" s="193">
        <v>0.13740756474092966</v>
      </c>
      <c r="AL49" s="191"/>
      <c r="AM49" s="195"/>
      <c r="AN49" s="191"/>
      <c r="AO49" s="191" t="s">
        <v>244</v>
      </c>
      <c r="AP49" s="193">
        <v>632.74927705959908</v>
      </c>
      <c r="AQ49" s="193">
        <v>592.19963095937544</v>
      </c>
      <c r="AR49" s="193">
        <v>223.40683084924885</v>
      </c>
      <c r="AS49" s="193">
        <v>242.87483540154989</v>
      </c>
      <c r="AT49" s="193">
        <v>125.91796470857669</v>
      </c>
      <c r="AU49" s="193">
        <v>47.40363444652791</v>
      </c>
      <c r="AV49" s="193">
        <v>8.2213299701751355E-2</v>
      </c>
      <c r="AW49" s="193">
        <v>5.4867086955284565E-4</v>
      </c>
      <c r="AX49" s="193">
        <v>49.62247085819844</v>
      </c>
      <c r="AY49" s="193">
        <v>0.20637027837064206</v>
      </c>
      <c r="AZ49" s="193">
        <v>0.24962827450486438</v>
      </c>
      <c r="BA49" s="193">
        <v>7.505494729309016E-2</v>
      </c>
      <c r="BB49" s="193">
        <v>8.1869485998395594E-2</v>
      </c>
      <c r="BC49" s="193">
        <v>3.256749688005809E-2</v>
      </c>
      <c r="BD49" s="193">
        <v>0.13740756474092966</v>
      </c>
    </row>
    <row r="50" spans="1:56">
      <c r="A50" s="195"/>
      <c r="B50" s="196" t="s">
        <v>2180</v>
      </c>
      <c r="C50" s="191" t="s">
        <v>23</v>
      </c>
      <c r="D50" s="192">
        <v>287.06780044595024</v>
      </c>
      <c r="E50" s="192">
        <v>276.80455767973865</v>
      </c>
      <c r="F50" s="192">
        <v>49.073005595854937</v>
      </c>
      <c r="G50" s="192">
        <v>148.60239585304419</v>
      </c>
      <c r="H50" s="192">
        <v>79.129156230839513</v>
      </c>
      <c r="I50" s="192">
        <v>1.0180379000093502</v>
      </c>
      <c r="J50" s="193">
        <v>0.46561746104926249</v>
      </c>
      <c r="K50" s="193">
        <v>1.3963787694883659E-2</v>
      </c>
      <c r="L50" s="192">
        <v>16.819683159316241</v>
      </c>
      <c r="M50" s="193">
        <v>2.2781344526269724E-2</v>
      </c>
      <c r="N50" s="193">
        <v>5.7461958270284753E-2</v>
      </c>
      <c r="O50" s="193">
        <v>0.17078258437068281</v>
      </c>
      <c r="P50" s="193">
        <v>1.3954065122128599E-2</v>
      </c>
      <c r="Q50" s="193">
        <v>6.6971989997229621E-3</v>
      </c>
      <c r="R50" s="193">
        <v>6.4574520514378578E-2</v>
      </c>
      <c r="S50" s="193"/>
      <c r="T50" s="193"/>
      <c r="U50" s="191" t="s">
        <v>2180</v>
      </c>
      <c r="V50" s="191" t="s">
        <v>23</v>
      </c>
      <c r="W50" s="193">
        <v>350.44672142575109</v>
      </c>
      <c r="X50" s="193">
        <v>342.27110887336414</v>
      </c>
      <c r="Y50" s="193">
        <v>42.611987513010753</v>
      </c>
      <c r="Z50" s="193">
        <v>229.25136856231882</v>
      </c>
      <c r="AA50" s="193">
        <v>70.407752799284282</v>
      </c>
      <c r="AB50" s="193">
        <v>8.2181199028542729</v>
      </c>
      <c r="AC50" s="193">
        <v>0.42681258035685282</v>
      </c>
      <c r="AD50" s="193">
        <v>1.1249316599225144E-2</v>
      </c>
      <c r="AE50" s="193">
        <v>22.240730758344686</v>
      </c>
      <c r="AF50" s="193">
        <v>1.8886281901615641E-2</v>
      </c>
      <c r="AG50" s="193">
        <v>3.3204210532888002E-2</v>
      </c>
      <c r="AH50" s="193">
        <v>0.11563068444850738</v>
      </c>
      <c r="AI50" s="193">
        <v>1.0993175811809195E-2</v>
      </c>
      <c r="AJ50" s="193">
        <v>5.0039201811849995E-3</v>
      </c>
      <c r="AK50" s="193">
        <v>4.3086037494312841E-2</v>
      </c>
      <c r="AL50" s="191"/>
      <c r="AM50" s="195"/>
      <c r="AN50" s="191" t="s">
        <v>2180</v>
      </c>
      <c r="AO50" s="191" t="s">
        <v>23</v>
      </c>
      <c r="AP50" s="193">
        <v>239.30504691644146</v>
      </c>
      <c r="AQ50" s="193">
        <v>233.7222714878115</v>
      </c>
      <c r="AR50" s="193">
        <v>29.09790004459877</v>
      </c>
      <c r="AS50" s="193">
        <v>156.54593453255484</v>
      </c>
      <c r="AT50" s="193">
        <v>48.078436911511268</v>
      </c>
      <c r="AU50" s="193">
        <v>5.6118018765204889</v>
      </c>
      <c r="AV50" s="193">
        <v>0.2914520191579652</v>
      </c>
      <c r="AW50" s="193">
        <v>7.6816761920423119E-3</v>
      </c>
      <c r="AX50" s="193">
        <v>15.187241860698228</v>
      </c>
      <c r="AY50" s="193">
        <v>1.2896632498531823E-2</v>
      </c>
      <c r="AZ50" s="193">
        <v>2.2673732335314948E-2</v>
      </c>
      <c r="BA50" s="193">
        <v>7.8959238809123602E-2</v>
      </c>
      <c r="BB50" s="193">
        <v>7.5067686257782786E-3</v>
      </c>
      <c r="BC50" s="193">
        <v>3.4169626380091854E-3</v>
      </c>
      <c r="BD50" s="193">
        <v>2.9421608460402197E-2</v>
      </c>
    </row>
    <row r="51" spans="1:56">
      <c r="A51" s="195"/>
      <c r="B51" s="196"/>
      <c r="C51" s="191" t="s">
        <v>24</v>
      </c>
      <c r="D51" s="192">
        <v>1342.6403135967785</v>
      </c>
      <c r="E51" s="192">
        <v>855.97718930561666</v>
      </c>
      <c r="F51" s="192">
        <v>167.71586281508698</v>
      </c>
      <c r="G51" s="192">
        <v>258.10226469954625</v>
      </c>
      <c r="H51" s="192">
        <v>430.1590617909834</v>
      </c>
      <c r="I51" s="192">
        <v>65.961050232748391</v>
      </c>
      <c r="J51" s="193">
        <v>7.3637183681946938E-2</v>
      </c>
      <c r="K51" s="193">
        <v>3.0074041043775487E-3</v>
      </c>
      <c r="L51" s="192">
        <v>68.698186247901575</v>
      </c>
      <c r="M51" s="193">
        <v>0.13482838369250399</v>
      </c>
      <c r="N51" s="193">
        <v>6.0468012555650527E-2</v>
      </c>
      <c r="O51" s="193">
        <v>0.15742482886932832</v>
      </c>
      <c r="P51" s="193">
        <v>5.213550137950286E-2</v>
      </c>
      <c r="Q51" s="193">
        <v>1.9524981318108491E-2</v>
      </c>
      <c r="R51" s="193">
        <v>0.10509454895164293</v>
      </c>
      <c r="S51" s="193"/>
      <c r="T51" s="193"/>
      <c r="U51" s="191"/>
      <c r="V51" s="191" t="s">
        <v>24</v>
      </c>
      <c r="W51" s="193">
        <v>1199.6216413143736</v>
      </c>
      <c r="X51" s="193">
        <v>768.17927907036767</v>
      </c>
      <c r="Y51" s="193">
        <v>143.82491376310392</v>
      </c>
      <c r="Z51" s="193">
        <v>245.1701860750818</v>
      </c>
      <c r="AA51" s="193">
        <v>379.18417923393741</v>
      </c>
      <c r="AB51" s="193">
        <v>58.300558439922675</v>
      </c>
      <c r="AC51" s="193">
        <v>6.5915588353470639E-2</v>
      </c>
      <c r="AD51" s="193">
        <v>2.689498554325224E-3</v>
      </c>
      <c r="AE51" s="193">
        <v>60.749918717948361</v>
      </c>
      <c r="AF51" s="193">
        <v>0.11918648224319839</v>
      </c>
      <c r="AG51" s="193">
        <v>4.5018645594802766E-2</v>
      </c>
      <c r="AH51" s="193">
        <v>0.10564094645679721</v>
      </c>
      <c r="AI51" s="193">
        <v>4.0804919535171034E-2</v>
      </c>
      <c r="AJ51" s="193">
        <v>1.4413108417946553E-2</v>
      </c>
      <c r="AK51" s="193">
        <v>5.7430647402056251E-2</v>
      </c>
      <c r="AL51" s="191"/>
      <c r="AM51" s="195"/>
      <c r="AN51" s="191"/>
      <c r="AO51" s="191" t="s">
        <v>24</v>
      </c>
      <c r="AP51" s="193">
        <v>819.17020649752942</v>
      </c>
      <c r="AQ51" s="193">
        <v>524.55670770805102</v>
      </c>
      <c r="AR51" s="193">
        <v>98.211869683948109</v>
      </c>
      <c r="AS51" s="193">
        <v>167.41621277698442</v>
      </c>
      <c r="AT51" s="193">
        <v>258.92862524831725</v>
      </c>
      <c r="AU51" s="193">
        <v>39.810952763261483</v>
      </c>
      <c r="AV51" s="193">
        <v>4.5010930332798522E-2</v>
      </c>
      <c r="AW51" s="193">
        <v>1.8365432985249387E-3</v>
      </c>
      <c r="AX51" s="193">
        <v>41.483515924541877</v>
      </c>
      <c r="AY51" s="193">
        <v>8.1387340731784039E-2</v>
      </c>
      <c r="AZ51" s="193">
        <v>3.0741303706165315E-2</v>
      </c>
      <c r="BA51" s="193">
        <v>7.2137674866212947E-2</v>
      </c>
      <c r="BB51" s="193">
        <v>2.7863930768302507E-2</v>
      </c>
      <c r="BC51" s="193">
        <v>9.8420940339692172E-3</v>
      </c>
      <c r="BD51" s="193">
        <v>3.9216927797404121E-2</v>
      </c>
    </row>
    <row r="52" spans="1:56">
      <c r="A52" s="195"/>
      <c r="B52" s="196"/>
      <c r="C52" s="191" t="s">
        <v>243</v>
      </c>
      <c r="D52" s="192">
        <v>5334.2142784208345</v>
      </c>
      <c r="E52" s="192">
        <v>4989.8167145828138</v>
      </c>
      <c r="F52" s="192">
        <v>0</v>
      </c>
      <c r="G52" s="192">
        <v>0</v>
      </c>
      <c r="H52" s="192">
        <v>4989.8167145828138</v>
      </c>
      <c r="I52" s="192">
        <v>409.15646390899576</v>
      </c>
      <c r="J52" s="193">
        <v>2.2100000000000002E-2</v>
      </c>
      <c r="K52" s="193">
        <v>1.2E-2</v>
      </c>
      <c r="L52" s="192">
        <v>413.28496390899573</v>
      </c>
      <c r="M52" s="193">
        <v>0.22699999999999998</v>
      </c>
      <c r="N52" s="193">
        <v>4.6890000000000001</v>
      </c>
      <c r="O52" s="193">
        <v>0.3</v>
      </c>
      <c r="P52" s="193">
        <v>2.93E-2</v>
      </c>
      <c r="Q52" s="193">
        <v>1.54E-2</v>
      </c>
      <c r="R52" s="193">
        <v>6.2064876018403329E-3</v>
      </c>
      <c r="S52" s="193"/>
      <c r="T52" s="193"/>
      <c r="U52" s="191"/>
      <c r="V52" s="191" t="s">
        <v>243</v>
      </c>
      <c r="W52" s="193">
        <v>4753.2012449360473</v>
      </c>
      <c r="X52" s="193">
        <v>4446.3161361375214</v>
      </c>
      <c r="Y52" s="193">
        <v>0</v>
      </c>
      <c r="Z52" s="193">
        <v>0</v>
      </c>
      <c r="AA52" s="193">
        <v>4446.3161361375214</v>
      </c>
      <c r="AB52" s="193">
        <v>364.61644830976132</v>
      </c>
      <c r="AC52" s="193">
        <v>1.0200000000000001E-2</v>
      </c>
      <c r="AD52" s="193">
        <v>1.2E-2</v>
      </c>
      <c r="AE52" s="193">
        <v>368.44744830976134</v>
      </c>
      <c r="AF52" s="193">
        <v>0.15</v>
      </c>
      <c r="AG52" s="193">
        <v>3.46</v>
      </c>
      <c r="AH52" s="193">
        <v>6.9000000000000006E-2</v>
      </c>
      <c r="AI52" s="193">
        <v>2.86E-2</v>
      </c>
      <c r="AJ52" s="193">
        <v>1.4800000000000001E-2</v>
      </c>
      <c r="AK52" s="193">
        <v>5.5184515875233561E-3</v>
      </c>
      <c r="AL52" s="191"/>
      <c r="AM52" s="195"/>
      <c r="AN52" s="191"/>
      <c r="AO52" s="191" t="s">
        <v>243</v>
      </c>
      <c r="AP52" s="193">
        <v>3245.7574215420436</v>
      </c>
      <c r="AQ52" s="193">
        <v>3036.198732962479</v>
      </c>
      <c r="AR52" s="193">
        <v>0</v>
      </c>
      <c r="AS52" s="193">
        <v>0</v>
      </c>
      <c r="AT52" s="193">
        <v>3036.198732962479</v>
      </c>
      <c r="AU52" s="193">
        <v>248.98094613152273</v>
      </c>
      <c r="AV52" s="193">
        <v>6.9651428571428572E-3</v>
      </c>
      <c r="AW52" s="193">
        <v>8.1942857142857147E-3</v>
      </c>
      <c r="AX52" s="193">
        <v>251.59697184580844</v>
      </c>
      <c r="AY52" s="193">
        <v>0.12050571428571427</v>
      </c>
      <c r="AZ52" s="193">
        <v>2.3626857142857141</v>
      </c>
      <c r="BA52" s="193">
        <v>4.7117142857142857E-2</v>
      </c>
      <c r="BB52" s="193">
        <v>2.6031142857142857E-2</v>
      </c>
      <c r="BC52" s="193">
        <v>1.2421428571428571E-2</v>
      </c>
      <c r="BD52" s="193">
        <v>3.7683140840516628E-3</v>
      </c>
    </row>
    <row r="53" spans="1:56">
      <c r="A53" s="195"/>
      <c r="B53" s="196"/>
      <c r="C53" s="191" t="s">
        <v>244</v>
      </c>
      <c r="D53" s="192">
        <v>632.74927705959908</v>
      </c>
      <c r="E53" s="192">
        <v>592.19963095937544</v>
      </c>
      <c r="F53" s="192">
        <v>223.40683084924885</v>
      </c>
      <c r="G53" s="192">
        <v>242.87483540154989</v>
      </c>
      <c r="H53" s="192">
        <v>125.91796470857669</v>
      </c>
      <c r="I53" s="192">
        <v>47.40363444652791</v>
      </c>
      <c r="J53" s="193">
        <v>8.2213299701751355E-2</v>
      </c>
      <c r="K53" s="193">
        <v>5.4867086955284565E-4</v>
      </c>
      <c r="L53" s="192">
        <v>49.62247085819844</v>
      </c>
      <c r="M53" s="193">
        <v>0.20637027837064206</v>
      </c>
      <c r="N53" s="193">
        <v>0.24962827450486438</v>
      </c>
      <c r="O53" s="193">
        <v>7.505494729309016E-2</v>
      </c>
      <c r="P53" s="193">
        <v>8.1869485998395594E-2</v>
      </c>
      <c r="Q53" s="193">
        <v>3.256749688005809E-2</v>
      </c>
      <c r="R53" s="193">
        <v>0.13740756474092966</v>
      </c>
      <c r="S53" s="193"/>
      <c r="T53" s="193"/>
      <c r="U53" s="191"/>
      <c r="V53" s="191" t="s">
        <v>244</v>
      </c>
      <c r="W53" s="193">
        <v>632.74927705959908</v>
      </c>
      <c r="X53" s="193">
        <v>592.19963095937544</v>
      </c>
      <c r="Y53" s="193">
        <v>223.40683084924885</v>
      </c>
      <c r="Z53" s="193">
        <v>242.87483540154989</v>
      </c>
      <c r="AA53" s="193">
        <v>125.91796470857669</v>
      </c>
      <c r="AB53" s="193">
        <v>47.40363444652791</v>
      </c>
      <c r="AC53" s="193">
        <v>8.2213299701751355E-2</v>
      </c>
      <c r="AD53" s="193">
        <v>5.4867086955284565E-4</v>
      </c>
      <c r="AE53" s="193">
        <v>49.62247085819844</v>
      </c>
      <c r="AF53" s="193">
        <v>0.20637027837064206</v>
      </c>
      <c r="AG53" s="193">
        <v>0.24962827450486438</v>
      </c>
      <c r="AH53" s="193">
        <v>7.505494729309016E-2</v>
      </c>
      <c r="AI53" s="193">
        <v>8.1869485998395594E-2</v>
      </c>
      <c r="AJ53" s="193">
        <v>3.256749688005809E-2</v>
      </c>
      <c r="AK53" s="193">
        <v>0.13740756474092966</v>
      </c>
      <c r="AL53" s="191"/>
      <c r="AM53" s="195"/>
      <c r="AN53" s="191"/>
      <c r="AO53" s="191" t="s">
        <v>244</v>
      </c>
      <c r="AP53" s="193">
        <v>632.74927705959908</v>
      </c>
      <c r="AQ53" s="193">
        <v>592.19963095937544</v>
      </c>
      <c r="AR53" s="193">
        <v>223.40683084924885</v>
      </c>
      <c r="AS53" s="193">
        <v>242.87483540154989</v>
      </c>
      <c r="AT53" s="193">
        <v>125.91796470857669</v>
      </c>
      <c r="AU53" s="193">
        <v>47.40363444652791</v>
      </c>
      <c r="AV53" s="193">
        <v>8.2213299701751355E-2</v>
      </c>
      <c r="AW53" s="193">
        <v>5.4867086955284565E-4</v>
      </c>
      <c r="AX53" s="193">
        <v>49.62247085819844</v>
      </c>
      <c r="AY53" s="193">
        <v>0.20637027837064206</v>
      </c>
      <c r="AZ53" s="193">
        <v>0.24962827450486438</v>
      </c>
      <c r="BA53" s="193">
        <v>7.505494729309016E-2</v>
      </c>
      <c r="BB53" s="193">
        <v>8.1869485998395594E-2</v>
      </c>
      <c r="BC53" s="193">
        <v>3.256749688005809E-2</v>
      </c>
      <c r="BD53" s="193">
        <v>0.13740756474092966</v>
      </c>
    </row>
    <row r="54" spans="1:56">
      <c r="A54" s="195"/>
      <c r="B54" s="196" t="s">
        <v>2181</v>
      </c>
      <c r="C54" s="191" t="s">
        <v>23</v>
      </c>
      <c r="D54" s="192">
        <v>293.71688779842742</v>
      </c>
      <c r="E54" s="192">
        <v>283.35691139452848</v>
      </c>
      <c r="F54" s="192">
        <v>50.009341439660474</v>
      </c>
      <c r="G54" s="192">
        <v>130.61794247099488</v>
      </c>
      <c r="H54" s="192">
        <v>102.7296274837706</v>
      </c>
      <c r="I54" s="192">
        <v>2.1728287091283818</v>
      </c>
      <c r="J54" s="193">
        <v>0.46523997412953899</v>
      </c>
      <c r="K54" s="193">
        <v>1.8893747345565953E-2</v>
      </c>
      <c r="L54" s="192">
        <v>19.434164771345511</v>
      </c>
      <c r="M54" s="193">
        <v>5.1020572114636549E-3</v>
      </c>
      <c r="N54" s="193">
        <v>6.3636554224915237E-2</v>
      </c>
      <c r="O54" s="193">
        <v>0.18531165559151686</v>
      </c>
      <c r="P54" s="193">
        <v>1.5264019722127788E-2</v>
      </c>
      <c r="Q54" s="193">
        <v>7.6835359466905177E-3</v>
      </c>
      <c r="R54" s="193">
        <v>7.3937547801463263E-2</v>
      </c>
      <c r="S54" s="193"/>
      <c r="T54" s="193"/>
      <c r="U54" s="191" t="s">
        <v>2181</v>
      </c>
      <c r="V54" s="191" t="s">
        <v>23</v>
      </c>
      <c r="W54" s="193">
        <v>351.04099134445755</v>
      </c>
      <c r="X54" s="193">
        <v>342.82172468811416</v>
      </c>
      <c r="Y54" s="193">
        <v>42.949337205848792</v>
      </c>
      <c r="Z54" s="193">
        <v>212.68412568363959</v>
      </c>
      <c r="AA54" s="193">
        <v>87.188261799846018</v>
      </c>
      <c r="AB54" s="193">
        <v>8.7688564864634557</v>
      </c>
      <c r="AC54" s="193">
        <v>0.42595206215173054</v>
      </c>
      <c r="AD54" s="193">
        <v>1.4330180260081786E-2</v>
      </c>
      <c r="AE54" s="193">
        <v>23.688051757761091</v>
      </c>
      <c r="AF54" s="193">
        <v>4.8384028361024836E-3</v>
      </c>
      <c r="AG54" s="193">
        <v>3.730122007884884E-2</v>
      </c>
      <c r="AH54" s="193">
        <v>0.12556948079690813</v>
      </c>
      <c r="AI54" s="193">
        <v>1.1851601267796595E-2</v>
      </c>
      <c r="AJ54" s="193">
        <v>5.6733420440037378E-3</v>
      </c>
      <c r="AK54" s="193">
        <v>4.99477704034288E-2</v>
      </c>
      <c r="AL54" s="191"/>
      <c r="AM54" s="195"/>
      <c r="AN54" s="191" t="s">
        <v>2181</v>
      </c>
      <c r="AO54" s="191" t="s">
        <v>23</v>
      </c>
      <c r="AP54" s="193">
        <v>239.71084837521528</v>
      </c>
      <c r="AQ54" s="193">
        <v>234.09826342988367</v>
      </c>
      <c r="AR54" s="193">
        <v>29.328261691993887</v>
      </c>
      <c r="AS54" s="193">
        <v>145.23287439539959</v>
      </c>
      <c r="AT54" s="193">
        <v>59.537127343323419</v>
      </c>
      <c r="AU54" s="193">
        <v>5.9878762864707591</v>
      </c>
      <c r="AV54" s="193">
        <v>0.29086440815503883</v>
      </c>
      <c r="AW54" s="193">
        <v>9.7854659490272753E-3</v>
      </c>
      <c r="AX54" s="193">
        <v>16.175555343156859</v>
      </c>
      <c r="AY54" s="193">
        <v>3.3039379366528385E-3</v>
      </c>
      <c r="AZ54" s="193">
        <v>2.5471404568128207E-2</v>
      </c>
      <c r="BA54" s="193">
        <v>8.5746016887031554E-2</v>
      </c>
      <c r="BB54" s="193">
        <v>8.0929505800096755E-3</v>
      </c>
      <c r="BC54" s="193">
        <v>3.8740821386196952E-3</v>
      </c>
      <c r="BD54" s="193">
        <v>3.4107191789769953E-2</v>
      </c>
    </row>
    <row r="55" spans="1:56">
      <c r="A55" s="195"/>
      <c r="B55" s="196"/>
      <c r="C55" s="191" t="s">
        <v>24</v>
      </c>
      <c r="D55" s="192">
        <v>1352.1773045863492</v>
      </c>
      <c r="E55" s="192">
        <v>1028.0705839910586</v>
      </c>
      <c r="F55" s="192">
        <v>227.15710936038556</v>
      </c>
      <c r="G55" s="192">
        <v>383.45183256317239</v>
      </c>
      <c r="H55" s="192">
        <v>417.46164206738479</v>
      </c>
      <c r="I55" s="192">
        <v>78.947348309583461</v>
      </c>
      <c r="J55" s="193">
        <v>0.10243258978703679</v>
      </c>
      <c r="K55" s="193">
        <v>1.1811271872493115E-3</v>
      </c>
      <c r="L55" s="192">
        <v>81.860138956059672</v>
      </c>
      <c r="M55" s="193">
        <v>0.13446445347518959</v>
      </c>
      <c r="N55" s="193">
        <v>5.4243561616457138E-2</v>
      </c>
      <c r="O55" s="193">
        <v>0.15002801445934991</v>
      </c>
      <c r="P55" s="193">
        <v>6.9314157276858288E-2</v>
      </c>
      <c r="Q55" s="193">
        <v>2.5521136045972455E-2</v>
      </c>
      <c r="R55" s="193">
        <v>0.12350945882755061</v>
      </c>
      <c r="S55" s="193"/>
      <c r="T55" s="193"/>
      <c r="U55" s="191"/>
      <c r="V55" s="191" t="s">
        <v>24</v>
      </c>
      <c r="W55" s="193">
        <v>1212.4964500008555</v>
      </c>
      <c r="X55" s="193">
        <v>925.15268774902097</v>
      </c>
      <c r="Y55" s="193">
        <v>198.82513648500122</v>
      </c>
      <c r="Z55" s="193">
        <v>354.55119780755888</v>
      </c>
      <c r="AA55" s="193">
        <v>371.77635345770074</v>
      </c>
      <c r="AB55" s="193">
        <v>70.26167623691444</v>
      </c>
      <c r="AC55" s="193">
        <v>9.1753368193060431E-2</v>
      </c>
      <c r="AD55" s="193">
        <v>1.062267705941022E-3</v>
      </c>
      <c r="AE55" s="193">
        <v>72.872066218111371</v>
      </c>
      <c r="AF55" s="193">
        <v>0.11937124902841917</v>
      </c>
      <c r="AG55" s="193">
        <v>3.9882194344826205E-2</v>
      </c>
      <c r="AH55" s="193">
        <v>9.7201531652632844E-2</v>
      </c>
      <c r="AI55" s="193">
        <v>5.4044861660518466E-2</v>
      </c>
      <c r="AJ55" s="193">
        <v>1.8828000348050739E-2</v>
      </c>
      <c r="AK55" s="193">
        <v>6.0682166731403725E-2</v>
      </c>
      <c r="AL55" s="191"/>
      <c r="AM55" s="195"/>
      <c r="AN55" s="191"/>
      <c r="AO55" s="191" t="s">
        <v>24</v>
      </c>
      <c r="AP55" s="193">
        <v>827.96186157201271</v>
      </c>
      <c r="AQ55" s="193">
        <v>631.74712106290292</v>
      </c>
      <c r="AR55" s="193">
        <v>135.76916462832941</v>
      </c>
      <c r="AS55" s="193">
        <v>242.10781793144733</v>
      </c>
      <c r="AT55" s="193">
        <v>253.87013850397278</v>
      </c>
      <c r="AU55" s="193">
        <v>47.978687487492998</v>
      </c>
      <c r="AV55" s="193">
        <v>6.2654442851832692E-2</v>
      </c>
      <c r="AW55" s="193">
        <v>7.2537709062829787E-4</v>
      </c>
      <c r="AX55" s="193">
        <v>49.76121093179605</v>
      </c>
      <c r="AY55" s="193">
        <v>8.1513510050834806E-2</v>
      </c>
      <c r="AZ55" s="193">
        <v>2.7233841281181323E-2</v>
      </c>
      <c r="BA55" s="193">
        <v>6.6374760185654996E-2</v>
      </c>
      <c r="BB55" s="193">
        <v>3.6904919819611179E-2</v>
      </c>
      <c r="BC55" s="193">
        <v>1.2856834523383218E-2</v>
      </c>
      <c r="BD55" s="193">
        <v>4.1437250996587113E-2</v>
      </c>
    </row>
    <row r="56" spans="1:56">
      <c r="A56" s="195"/>
      <c r="B56" s="196"/>
      <c r="C56" s="191" t="s">
        <v>243</v>
      </c>
      <c r="D56" s="192">
        <v>5334.2142784208345</v>
      </c>
      <c r="E56" s="192">
        <v>4989.8167145828138</v>
      </c>
      <c r="F56" s="192">
        <v>0</v>
      </c>
      <c r="G56" s="192">
        <v>0</v>
      </c>
      <c r="H56" s="192">
        <v>4989.8167145828138</v>
      </c>
      <c r="I56" s="192">
        <v>409.15646390899576</v>
      </c>
      <c r="J56" s="193">
        <v>2.2100000000000002E-2</v>
      </c>
      <c r="K56" s="193">
        <v>1.2E-2</v>
      </c>
      <c r="L56" s="192">
        <v>413.28496390899573</v>
      </c>
      <c r="M56" s="193">
        <v>0.22699999999999998</v>
      </c>
      <c r="N56" s="193">
        <v>4.6890000000000001</v>
      </c>
      <c r="O56" s="193">
        <v>0.3</v>
      </c>
      <c r="P56" s="193">
        <v>2.93E-2</v>
      </c>
      <c r="Q56" s="193">
        <v>1.54E-2</v>
      </c>
      <c r="R56" s="193">
        <v>6.2064876018403329E-3</v>
      </c>
      <c r="S56" s="193"/>
      <c r="T56" s="193"/>
      <c r="U56" s="191"/>
      <c r="V56" s="191" t="s">
        <v>243</v>
      </c>
      <c r="W56" s="193">
        <v>4753.2012449360473</v>
      </c>
      <c r="X56" s="193">
        <v>4446.3161361375214</v>
      </c>
      <c r="Y56" s="193">
        <v>0</v>
      </c>
      <c r="Z56" s="193">
        <v>0</v>
      </c>
      <c r="AA56" s="193">
        <v>4446.3161361375214</v>
      </c>
      <c r="AB56" s="193">
        <v>364.61644830976132</v>
      </c>
      <c r="AC56" s="193">
        <v>1.0200000000000001E-2</v>
      </c>
      <c r="AD56" s="193">
        <v>1.2E-2</v>
      </c>
      <c r="AE56" s="193">
        <v>368.44744830976134</v>
      </c>
      <c r="AF56" s="193">
        <v>0.15</v>
      </c>
      <c r="AG56" s="193">
        <v>3.46</v>
      </c>
      <c r="AH56" s="193">
        <v>6.9000000000000006E-2</v>
      </c>
      <c r="AI56" s="193">
        <v>2.86E-2</v>
      </c>
      <c r="AJ56" s="193">
        <v>1.4800000000000001E-2</v>
      </c>
      <c r="AK56" s="193">
        <v>5.5184515875233561E-3</v>
      </c>
      <c r="AL56" s="191"/>
      <c r="AM56" s="195"/>
      <c r="AN56" s="191"/>
      <c r="AO56" s="191" t="s">
        <v>243</v>
      </c>
      <c r="AP56" s="193">
        <v>3245.7574215420436</v>
      </c>
      <c r="AQ56" s="193">
        <v>3036.198732962479</v>
      </c>
      <c r="AR56" s="193">
        <v>0</v>
      </c>
      <c r="AS56" s="193">
        <v>0</v>
      </c>
      <c r="AT56" s="193">
        <v>3036.198732962479</v>
      </c>
      <c r="AU56" s="193">
        <v>248.98094613152273</v>
      </c>
      <c r="AV56" s="193">
        <v>6.9651428571428572E-3</v>
      </c>
      <c r="AW56" s="193">
        <v>8.1942857142857147E-3</v>
      </c>
      <c r="AX56" s="193">
        <v>251.59697184580844</v>
      </c>
      <c r="AY56" s="193">
        <v>0.12050571428571427</v>
      </c>
      <c r="AZ56" s="193">
        <v>2.3626857142857141</v>
      </c>
      <c r="BA56" s="193">
        <v>4.7117142857142857E-2</v>
      </c>
      <c r="BB56" s="193">
        <v>2.6031142857142857E-2</v>
      </c>
      <c r="BC56" s="193">
        <v>1.2421428571428571E-2</v>
      </c>
      <c r="BD56" s="193">
        <v>3.7683140840516628E-3</v>
      </c>
    </row>
    <row r="57" spans="1:56">
      <c r="A57" s="195"/>
      <c r="B57" s="196"/>
      <c r="C57" s="191" t="s">
        <v>244</v>
      </c>
      <c r="D57" s="192">
        <v>632.74927705959908</v>
      </c>
      <c r="E57" s="192">
        <v>592.19963095937544</v>
      </c>
      <c r="F57" s="192">
        <v>223.40683084924885</v>
      </c>
      <c r="G57" s="192">
        <v>242.87483540154989</v>
      </c>
      <c r="H57" s="192">
        <v>125.91796470857669</v>
      </c>
      <c r="I57" s="192">
        <v>47.40363444652791</v>
      </c>
      <c r="J57" s="193">
        <v>8.2213299701751355E-2</v>
      </c>
      <c r="K57" s="193">
        <v>5.4867086955284565E-4</v>
      </c>
      <c r="L57" s="192">
        <v>49.62247085819844</v>
      </c>
      <c r="M57" s="193">
        <v>0.20637027837064206</v>
      </c>
      <c r="N57" s="193">
        <v>0.24962827450486438</v>
      </c>
      <c r="O57" s="193">
        <v>7.505494729309016E-2</v>
      </c>
      <c r="P57" s="193">
        <v>8.1869485998395594E-2</v>
      </c>
      <c r="Q57" s="193">
        <v>3.256749688005809E-2</v>
      </c>
      <c r="R57" s="193">
        <v>0.13740756474092966</v>
      </c>
      <c r="S57" s="193"/>
      <c r="T57" s="193"/>
      <c r="U57" s="191"/>
      <c r="V57" s="191" t="s">
        <v>244</v>
      </c>
      <c r="W57" s="193">
        <v>632.74927705959908</v>
      </c>
      <c r="X57" s="193">
        <v>592.19963095937544</v>
      </c>
      <c r="Y57" s="193">
        <v>223.40683084924885</v>
      </c>
      <c r="Z57" s="193">
        <v>242.87483540154989</v>
      </c>
      <c r="AA57" s="193">
        <v>125.91796470857669</v>
      </c>
      <c r="AB57" s="193">
        <v>47.40363444652791</v>
      </c>
      <c r="AC57" s="193">
        <v>8.2213299701751355E-2</v>
      </c>
      <c r="AD57" s="193">
        <v>5.4867086955284565E-4</v>
      </c>
      <c r="AE57" s="193">
        <v>49.62247085819844</v>
      </c>
      <c r="AF57" s="193">
        <v>0.20637027837064206</v>
      </c>
      <c r="AG57" s="193">
        <v>0.24962827450486438</v>
      </c>
      <c r="AH57" s="193">
        <v>7.505494729309016E-2</v>
      </c>
      <c r="AI57" s="193">
        <v>8.1869485998395594E-2</v>
      </c>
      <c r="AJ57" s="193">
        <v>3.256749688005809E-2</v>
      </c>
      <c r="AK57" s="193">
        <v>0.13740756474092966</v>
      </c>
      <c r="AL57" s="191"/>
      <c r="AM57" s="195"/>
      <c r="AN57" s="191"/>
      <c r="AO57" s="191" t="s">
        <v>244</v>
      </c>
      <c r="AP57" s="193">
        <v>632.74927705959908</v>
      </c>
      <c r="AQ57" s="193">
        <v>592.19963095937544</v>
      </c>
      <c r="AR57" s="193">
        <v>223.40683084924885</v>
      </c>
      <c r="AS57" s="193">
        <v>242.87483540154989</v>
      </c>
      <c r="AT57" s="193">
        <v>125.91796470857669</v>
      </c>
      <c r="AU57" s="193">
        <v>47.40363444652791</v>
      </c>
      <c r="AV57" s="193">
        <v>8.2213299701751355E-2</v>
      </c>
      <c r="AW57" s="193">
        <v>5.4867086955284565E-4</v>
      </c>
      <c r="AX57" s="193">
        <v>49.62247085819844</v>
      </c>
      <c r="AY57" s="193">
        <v>0.20637027837064206</v>
      </c>
      <c r="AZ57" s="193">
        <v>0.24962827450486438</v>
      </c>
      <c r="BA57" s="193">
        <v>7.505494729309016E-2</v>
      </c>
      <c r="BB57" s="193">
        <v>8.1869485998395594E-2</v>
      </c>
      <c r="BC57" s="193">
        <v>3.256749688005809E-2</v>
      </c>
      <c r="BD57" s="193">
        <v>0.13740756474092966</v>
      </c>
    </row>
    <row r="58" spans="1:56">
      <c r="A58" s="195"/>
      <c r="B58" s="196" t="s">
        <v>2182</v>
      </c>
      <c r="C58" s="191" t="s">
        <v>23</v>
      </c>
      <c r="D58" s="192">
        <v>264.88056868125176</v>
      </c>
      <c r="E58" s="192">
        <v>256.18869358720582</v>
      </c>
      <c r="F58" s="192">
        <v>41.75022625502087</v>
      </c>
      <c r="G58" s="192">
        <v>136.41292785917</v>
      </c>
      <c r="H58" s="192">
        <v>78.025539473014774</v>
      </c>
      <c r="I58" s="192">
        <v>-3.9402991351618866</v>
      </c>
      <c r="J58" s="193">
        <v>0.46055628694400919</v>
      </c>
      <c r="K58" s="193">
        <v>1.2398018382345858E-2</v>
      </c>
      <c r="L58" s="192">
        <v>11.268217516377408</v>
      </c>
      <c r="M58" s="193">
        <v>2.2337094853429929E-2</v>
      </c>
      <c r="N58" s="193">
        <v>5.3111112694661081E-2</v>
      </c>
      <c r="O58" s="193">
        <v>0.15938839076829561</v>
      </c>
      <c r="P58" s="193">
        <v>1.2528922304564406E-2</v>
      </c>
      <c r="Q58" s="193">
        <v>6.2608205282953218E-3</v>
      </c>
      <c r="R58" s="193">
        <v>5.324598318132457E-2</v>
      </c>
      <c r="S58" s="193"/>
      <c r="T58" s="193"/>
      <c r="U58" s="191" t="s">
        <v>2182</v>
      </c>
      <c r="V58" s="191" t="s">
        <v>23</v>
      </c>
      <c r="W58" s="193">
        <v>328.31197464342853</v>
      </c>
      <c r="X58" s="193">
        <v>321.1990476298102</v>
      </c>
      <c r="Y58" s="193">
        <v>37.08062009535012</v>
      </c>
      <c r="Z58" s="193">
        <v>217.10330701219596</v>
      </c>
      <c r="AA58" s="193">
        <v>67.015120523412747</v>
      </c>
      <c r="AB58" s="193">
        <v>4.0294762145441574</v>
      </c>
      <c r="AC58" s="193">
        <v>0.42210791675836146</v>
      </c>
      <c r="AD58" s="193">
        <v>9.6192687007894059E-3</v>
      </c>
      <c r="AE58" s="193">
        <v>17.448716206338439</v>
      </c>
      <c r="AF58" s="193">
        <v>1.8722048077389621E-2</v>
      </c>
      <c r="AG58" s="193">
        <v>3.2250403882933092E-2</v>
      </c>
      <c r="AH58" s="193">
        <v>0.10996293445107133</v>
      </c>
      <c r="AI58" s="193">
        <v>1.0015833651264298E-2</v>
      </c>
      <c r="AJ58" s="193">
        <v>4.7513659561364127E-3</v>
      </c>
      <c r="AK58" s="193">
        <v>3.5981810507478749E-2</v>
      </c>
      <c r="AL58" s="191"/>
      <c r="AM58" s="195"/>
      <c r="AN58" s="191" t="s">
        <v>2182</v>
      </c>
      <c r="AO58" s="191" t="s">
        <v>23</v>
      </c>
      <c r="AP58" s="193">
        <v>224.19017697079832</v>
      </c>
      <c r="AQ58" s="193">
        <v>219.33306395292752</v>
      </c>
      <c r="AR58" s="193">
        <v>25.320766293681938</v>
      </c>
      <c r="AS58" s="193">
        <v>148.25054393118523</v>
      </c>
      <c r="AT58" s="193">
        <v>45.761753728844702</v>
      </c>
      <c r="AU58" s="193">
        <v>2.7515566150744388</v>
      </c>
      <c r="AV58" s="193">
        <v>0.28823940601499537</v>
      </c>
      <c r="AW58" s="193">
        <v>6.5685863413961938E-3</v>
      </c>
      <c r="AX58" s="193">
        <v>11.914980495185391</v>
      </c>
      <c r="AY58" s="193">
        <v>1.278448425856034E-2</v>
      </c>
      <c r="AZ58" s="193">
        <v>2.2022418651488598E-2</v>
      </c>
      <c r="BA58" s="193">
        <v>7.5088975239445854E-2</v>
      </c>
      <c r="BB58" s="193">
        <v>6.839383550434763E-3</v>
      </c>
      <c r="BC58" s="193">
        <v>3.2445041814760074E-3</v>
      </c>
      <c r="BD58" s="193">
        <v>2.4570436317964059E-2</v>
      </c>
    </row>
    <row r="59" spans="1:56">
      <c r="A59" s="195"/>
      <c r="B59" s="196"/>
      <c r="C59" s="191" t="s">
        <v>24</v>
      </c>
      <c r="D59" s="192">
        <v>1197.05116720415</v>
      </c>
      <c r="E59" s="192">
        <v>791.42725750487011</v>
      </c>
      <c r="F59" s="192">
        <v>129.29540201329596</v>
      </c>
      <c r="G59" s="192">
        <v>246.54390090703481</v>
      </c>
      <c r="H59" s="192">
        <v>415.58795458453898</v>
      </c>
      <c r="I59" s="192">
        <v>59.911954175930703</v>
      </c>
      <c r="J59" s="193">
        <v>6.6363813889231016E-2</v>
      </c>
      <c r="K59" s="193">
        <v>4.1891200149179767E-3</v>
      </c>
      <c r="L59" s="192">
        <v>62.819407287607035</v>
      </c>
      <c r="M59" s="193">
        <v>0.12897491716239143</v>
      </c>
      <c r="N59" s="193">
        <v>6.3843949918587092E-2</v>
      </c>
      <c r="O59" s="193">
        <v>0.1532616529884151</v>
      </c>
      <c r="P59" s="193">
        <v>4.5948613997563566E-2</v>
      </c>
      <c r="Q59" s="193">
        <v>1.7757655705107421E-2</v>
      </c>
      <c r="R59" s="193">
        <v>8.7110135637105526E-2</v>
      </c>
      <c r="S59" s="193"/>
      <c r="T59" s="193"/>
      <c r="U59" s="191"/>
      <c r="V59" s="191" t="s">
        <v>24</v>
      </c>
      <c r="W59" s="193">
        <v>981.02417994973223</v>
      </c>
      <c r="X59" s="193">
        <v>714.99237840273747</v>
      </c>
      <c r="Y59" s="193">
        <v>113.32047362939151</v>
      </c>
      <c r="Z59" s="193">
        <v>231.4246838292014</v>
      </c>
      <c r="AA59" s="193">
        <v>370.24722094530034</v>
      </c>
      <c r="AB59" s="193">
        <v>53.429022731942283</v>
      </c>
      <c r="AC59" s="193">
        <v>5.9502412615695742E-2</v>
      </c>
      <c r="AD59" s="193">
        <v>3.3257205409709225E-3</v>
      </c>
      <c r="AE59" s="193">
        <v>55.90764776854401</v>
      </c>
      <c r="AF59" s="193">
        <v>0.11438141139315541</v>
      </c>
      <c r="AG59" s="193">
        <v>4.7765223875693659E-2</v>
      </c>
      <c r="AH59" s="193">
        <v>0.10602991644977301</v>
      </c>
      <c r="AI59" s="193">
        <v>3.6097759538118994E-2</v>
      </c>
      <c r="AJ59" s="193">
        <v>1.3299947941555956E-2</v>
      </c>
      <c r="AK59" s="193">
        <v>4.9449977901933541E-2</v>
      </c>
      <c r="AL59" s="191"/>
      <c r="AM59" s="195"/>
      <c r="AN59" s="191"/>
      <c r="AO59" s="191" t="s">
        <v>24</v>
      </c>
      <c r="AP59" s="193">
        <v>669.89936859424574</v>
      </c>
      <c r="AQ59" s="193">
        <v>488.2376526807264</v>
      </c>
      <c r="AR59" s="193">
        <v>77.381694849784495</v>
      </c>
      <c r="AS59" s="193">
        <v>158.02999838622608</v>
      </c>
      <c r="AT59" s="193">
        <v>252.82595944550508</v>
      </c>
      <c r="AU59" s="193">
        <v>36.48438980838344</v>
      </c>
      <c r="AV59" s="193">
        <v>4.0631647471860807E-2</v>
      </c>
      <c r="AW59" s="193">
        <v>2.2709920265487154E-3</v>
      </c>
      <c r="AX59" s="193">
        <v>38.176936619091478</v>
      </c>
      <c r="AY59" s="193">
        <v>7.8106163779897556E-2</v>
      </c>
      <c r="AZ59" s="193">
        <v>3.2616824303687952E-2</v>
      </c>
      <c r="BA59" s="193">
        <v>7.2403285804273562E-2</v>
      </c>
      <c r="BB59" s="193">
        <v>2.4649612941744111E-2</v>
      </c>
      <c r="BC59" s="193">
        <v>9.0819644515196373E-3</v>
      </c>
      <c r="BD59" s="193">
        <v>3.3767270624463185E-2</v>
      </c>
    </row>
    <row r="60" spans="1:56">
      <c r="A60" s="195"/>
      <c r="B60" s="196"/>
      <c r="C60" s="191" t="s">
        <v>243</v>
      </c>
      <c r="D60" s="192">
        <v>5334.2142784208345</v>
      </c>
      <c r="E60" s="192">
        <v>4989.8167145828138</v>
      </c>
      <c r="F60" s="192">
        <v>0</v>
      </c>
      <c r="G60" s="192">
        <v>0</v>
      </c>
      <c r="H60" s="192">
        <v>4989.8167145828138</v>
      </c>
      <c r="I60" s="192">
        <v>409.15646390899576</v>
      </c>
      <c r="J60" s="193">
        <v>2.2100000000000002E-2</v>
      </c>
      <c r="K60" s="193">
        <v>1.2E-2</v>
      </c>
      <c r="L60" s="192">
        <v>413.28496390899573</v>
      </c>
      <c r="M60" s="193">
        <v>0.22699999999999998</v>
      </c>
      <c r="N60" s="193">
        <v>4.6890000000000001</v>
      </c>
      <c r="O60" s="193">
        <v>0.3</v>
      </c>
      <c r="P60" s="193">
        <v>2.93E-2</v>
      </c>
      <c r="Q60" s="193">
        <v>1.54E-2</v>
      </c>
      <c r="R60" s="193">
        <v>6.3143413862761259E-3</v>
      </c>
      <c r="S60" s="193"/>
      <c r="T60" s="193"/>
      <c r="U60" s="191"/>
      <c r="V60" s="191" t="s">
        <v>243</v>
      </c>
      <c r="W60" s="193">
        <v>4753.2012449360473</v>
      </c>
      <c r="X60" s="193">
        <v>4446.3161361375214</v>
      </c>
      <c r="Y60" s="193">
        <v>0</v>
      </c>
      <c r="Z60" s="193">
        <v>0</v>
      </c>
      <c r="AA60" s="193">
        <v>4446.3161361375214</v>
      </c>
      <c r="AB60" s="193">
        <v>364.61644830976132</v>
      </c>
      <c r="AC60" s="193">
        <v>1.0200000000000001E-2</v>
      </c>
      <c r="AD60" s="193">
        <v>1.2E-2</v>
      </c>
      <c r="AE60" s="193">
        <v>368.44744830976134</v>
      </c>
      <c r="AF60" s="193">
        <v>0.15</v>
      </c>
      <c r="AG60" s="193">
        <v>3.46</v>
      </c>
      <c r="AH60" s="193">
        <v>6.9000000000000006E-2</v>
      </c>
      <c r="AI60" s="193">
        <v>2.86E-2</v>
      </c>
      <c r="AJ60" s="193">
        <v>1.4800000000000001E-2</v>
      </c>
      <c r="AK60" s="193">
        <v>5.6265709946478146E-3</v>
      </c>
      <c r="AL60" s="191"/>
      <c r="AM60" s="195"/>
      <c r="AN60" s="191"/>
      <c r="AO60" s="191" t="s">
        <v>243</v>
      </c>
      <c r="AP60" s="193">
        <v>3245.7574215420436</v>
      </c>
      <c r="AQ60" s="193">
        <v>3036.198732962479</v>
      </c>
      <c r="AR60" s="193">
        <v>0</v>
      </c>
      <c r="AS60" s="193">
        <v>0</v>
      </c>
      <c r="AT60" s="193">
        <v>3036.198732962479</v>
      </c>
      <c r="AU60" s="193">
        <v>248.98094613152273</v>
      </c>
      <c r="AV60" s="193">
        <v>6.9651428571428572E-3</v>
      </c>
      <c r="AW60" s="193">
        <v>8.1942857142857147E-3</v>
      </c>
      <c r="AX60" s="193">
        <v>251.59697184580844</v>
      </c>
      <c r="AY60" s="193">
        <v>0.12050571428571427</v>
      </c>
      <c r="AZ60" s="193">
        <v>2.3626857142857141</v>
      </c>
      <c r="BA60" s="193">
        <v>4.7117142857142857E-2</v>
      </c>
      <c r="BB60" s="193">
        <v>2.6031142857142857E-2</v>
      </c>
      <c r="BC60" s="193">
        <v>1.2421428571428571E-2</v>
      </c>
      <c r="BD60" s="193">
        <v>3.8421441934880789E-3</v>
      </c>
    </row>
    <row r="61" spans="1:56">
      <c r="A61" s="195"/>
      <c r="B61" s="196"/>
      <c r="C61" s="191" t="s">
        <v>244</v>
      </c>
      <c r="D61" s="192">
        <v>632.74927705959908</v>
      </c>
      <c r="E61" s="192">
        <v>592.19963095937544</v>
      </c>
      <c r="F61" s="192">
        <v>223.40683084924885</v>
      </c>
      <c r="G61" s="192">
        <v>242.87483540154989</v>
      </c>
      <c r="H61" s="192">
        <v>125.91796470857669</v>
      </c>
      <c r="I61" s="192">
        <v>47.40363444652791</v>
      </c>
      <c r="J61" s="193">
        <v>8.2213299701751355E-2</v>
      </c>
      <c r="K61" s="193">
        <v>5.4867086955284565E-4</v>
      </c>
      <c r="L61" s="192">
        <v>49.62247085819844</v>
      </c>
      <c r="M61" s="193">
        <v>0.20637027837064206</v>
      </c>
      <c r="N61" s="193">
        <v>0.24962827450486438</v>
      </c>
      <c r="O61" s="193">
        <v>7.505494729309016E-2</v>
      </c>
      <c r="P61" s="193">
        <v>8.1869485998395594E-2</v>
      </c>
      <c r="Q61" s="193">
        <v>3.256749688005809E-2</v>
      </c>
      <c r="R61" s="193">
        <v>0.13740756474092966</v>
      </c>
      <c r="S61" s="193"/>
      <c r="T61" s="193"/>
      <c r="U61" s="191"/>
      <c r="V61" s="191" t="s">
        <v>244</v>
      </c>
      <c r="W61" s="193">
        <v>632.74927705959908</v>
      </c>
      <c r="X61" s="193">
        <v>592.19963095937544</v>
      </c>
      <c r="Y61" s="193">
        <v>223.40683084924885</v>
      </c>
      <c r="Z61" s="193">
        <v>242.87483540154989</v>
      </c>
      <c r="AA61" s="193">
        <v>125.91796470857669</v>
      </c>
      <c r="AB61" s="193">
        <v>47.40363444652791</v>
      </c>
      <c r="AC61" s="193">
        <v>8.2213299701751355E-2</v>
      </c>
      <c r="AD61" s="193">
        <v>5.4867086955284565E-4</v>
      </c>
      <c r="AE61" s="193">
        <v>49.62247085819844</v>
      </c>
      <c r="AF61" s="193">
        <v>0.20637027837064206</v>
      </c>
      <c r="AG61" s="193">
        <v>0.24962827450486438</v>
      </c>
      <c r="AH61" s="193">
        <v>7.505494729309016E-2</v>
      </c>
      <c r="AI61" s="193">
        <v>8.1869485998395594E-2</v>
      </c>
      <c r="AJ61" s="193">
        <v>3.256749688005809E-2</v>
      </c>
      <c r="AK61" s="193">
        <v>0.13740756474092966</v>
      </c>
      <c r="AL61" s="191"/>
      <c r="AM61" s="195"/>
      <c r="AN61" s="191"/>
      <c r="AO61" s="191" t="s">
        <v>244</v>
      </c>
      <c r="AP61" s="193">
        <v>632.74927705959908</v>
      </c>
      <c r="AQ61" s="193">
        <v>592.19963095937544</v>
      </c>
      <c r="AR61" s="193">
        <v>223.40683084924885</v>
      </c>
      <c r="AS61" s="193">
        <v>242.87483540154989</v>
      </c>
      <c r="AT61" s="193">
        <v>125.91796470857669</v>
      </c>
      <c r="AU61" s="193">
        <v>47.40363444652791</v>
      </c>
      <c r="AV61" s="193">
        <v>8.2213299701751355E-2</v>
      </c>
      <c r="AW61" s="193">
        <v>5.4867086955284565E-4</v>
      </c>
      <c r="AX61" s="193">
        <v>49.62247085819844</v>
      </c>
      <c r="AY61" s="193">
        <v>0.20637027837064206</v>
      </c>
      <c r="AZ61" s="193">
        <v>0.24962827450486438</v>
      </c>
      <c r="BA61" s="193">
        <v>7.505494729309016E-2</v>
      </c>
      <c r="BB61" s="193">
        <v>8.1869485998395594E-2</v>
      </c>
      <c r="BC61" s="193">
        <v>3.256749688005809E-2</v>
      </c>
      <c r="BD61" s="193">
        <v>0.13740756474092966</v>
      </c>
    </row>
    <row r="62" spans="1:56">
      <c r="A62" s="195"/>
      <c r="B62" s="196" t="s">
        <v>2183</v>
      </c>
      <c r="C62" s="191" t="s">
        <v>23</v>
      </c>
      <c r="D62" s="192">
        <v>250.57453296739189</v>
      </c>
      <c r="E62" s="192">
        <v>242.09504581049544</v>
      </c>
      <c r="F62" s="192">
        <v>40.761166971531388</v>
      </c>
      <c r="G62" s="192">
        <v>122.15426633130569</v>
      </c>
      <c r="H62" s="192">
        <v>79.179612507191308</v>
      </c>
      <c r="I62" s="192">
        <v>-2.3408949076321193</v>
      </c>
      <c r="J62" s="193">
        <v>0.45980333410427338</v>
      </c>
      <c r="K62" s="193">
        <v>-2.9095928598959081E-5</v>
      </c>
      <c r="L62" s="192">
        <v>9.1455178582522247</v>
      </c>
      <c r="M62" s="193">
        <v>2.0294462745639383E-2</v>
      </c>
      <c r="N62" s="193">
        <v>5.1906090732663453E-2</v>
      </c>
      <c r="O62" s="193">
        <v>0.15514181604577165</v>
      </c>
      <c r="P62" s="193">
        <v>1.2496252830879266E-2</v>
      </c>
      <c r="Q62" s="193">
        <v>6.3391404234334377E-3</v>
      </c>
      <c r="R62" s="193">
        <v>5.7583314050771134E-2</v>
      </c>
      <c r="S62" s="193"/>
      <c r="T62" s="193"/>
      <c r="U62" s="191" t="s">
        <v>2183</v>
      </c>
      <c r="V62" s="191" t="s">
        <v>23</v>
      </c>
      <c r="W62" s="193">
        <v>316.51642131872018</v>
      </c>
      <c r="X62" s="193">
        <v>309.5427767751184</v>
      </c>
      <c r="Y62" s="193">
        <v>36.369508627722311</v>
      </c>
      <c r="Z62" s="193">
        <v>206.08682998542491</v>
      </c>
      <c r="AA62" s="193">
        <v>67.086438163098407</v>
      </c>
      <c r="AB62" s="193">
        <v>5.1843050929115755</v>
      </c>
      <c r="AC62" s="193">
        <v>0.42144965419152941</v>
      </c>
      <c r="AD62" s="193">
        <v>1.266701913617611E-4</v>
      </c>
      <c r="AE62" s="193">
        <v>15.758294164725616</v>
      </c>
      <c r="AF62" s="193">
        <v>1.702781803269238E-2</v>
      </c>
      <c r="AG62" s="193">
        <v>3.072486771166396E-2</v>
      </c>
      <c r="AH62" s="193">
        <v>0.10562326601289482</v>
      </c>
      <c r="AI62" s="193">
        <v>9.8727228618071556E-3</v>
      </c>
      <c r="AJ62" s="193">
        <v>4.7006465363956824E-3</v>
      </c>
      <c r="AK62" s="193">
        <v>3.9225887438901146E-2</v>
      </c>
      <c r="AL62" s="191"/>
      <c r="AM62" s="195"/>
      <c r="AN62" s="191" t="s">
        <v>2183</v>
      </c>
      <c r="AO62" s="191" t="s">
        <v>23</v>
      </c>
      <c r="AP62" s="193">
        <v>216.1354991290689</v>
      </c>
      <c r="AQ62" s="193">
        <v>211.37349614072369</v>
      </c>
      <c r="AR62" s="193">
        <v>24.835178748644662</v>
      </c>
      <c r="AS62" s="193">
        <v>140.72786390433302</v>
      </c>
      <c r="AT62" s="193">
        <v>45.810453488515769</v>
      </c>
      <c r="AU62" s="193">
        <v>3.5401397634453327</v>
      </c>
      <c r="AV62" s="193">
        <v>0.28778990671935867</v>
      </c>
      <c r="AW62" s="193">
        <v>8.6497644958459722E-5</v>
      </c>
      <c r="AX62" s="193">
        <v>10.76066372962692</v>
      </c>
      <c r="AY62" s="193">
        <v>1.1627567170895654E-2</v>
      </c>
      <c r="AZ62" s="193">
        <v>2.0980695380250533E-2</v>
      </c>
      <c r="BA62" s="193">
        <v>7.2125601648805313E-2</v>
      </c>
      <c r="BB62" s="193">
        <v>6.741659325634029E-3</v>
      </c>
      <c r="BC62" s="193">
        <v>3.2098700634244802E-3</v>
      </c>
      <c r="BD62" s="193">
        <v>2.6785677422563926E-2</v>
      </c>
    </row>
    <row r="63" spans="1:56">
      <c r="A63" s="195"/>
      <c r="B63" s="196"/>
      <c r="C63" s="191" t="s">
        <v>24</v>
      </c>
      <c r="D63" s="192">
        <v>1160.858827323277</v>
      </c>
      <c r="E63" s="192">
        <v>791.42725750658667</v>
      </c>
      <c r="F63" s="192">
        <v>129.29540201301123</v>
      </c>
      <c r="G63" s="192">
        <v>246.54390090841463</v>
      </c>
      <c r="H63" s="192">
        <v>415.58795458462259</v>
      </c>
      <c r="I63" s="192">
        <v>59.912106813512167</v>
      </c>
      <c r="J63" s="193">
        <v>6.6308309316839772E-2</v>
      </c>
      <c r="K63" s="193">
        <v>4.0298737194358865E-3</v>
      </c>
      <c r="L63" s="192">
        <v>62.770716914825059</v>
      </c>
      <c r="M63" s="193">
        <v>0.12889759584746463</v>
      </c>
      <c r="N63" s="193">
        <v>6.2732121237323454E-2</v>
      </c>
      <c r="O63" s="193">
        <v>0.15166919003317006</v>
      </c>
      <c r="P63" s="193">
        <v>4.5765321511424907E-2</v>
      </c>
      <c r="Q63" s="193">
        <v>1.7666009462039955E-2</v>
      </c>
      <c r="R63" s="193">
        <v>8.705078019934806E-2</v>
      </c>
      <c r="S63" s="193"/>
      <c r="T63" s="193"/>
      <c r="U63" s="191"/>
      <c r="V63" s="191" t="s">
        <v>24</v>
      </c>
      <c r="W63" s="193">
        <v>953.38115175358155</v>
      </c>
      <c r="X63" s="193">
        <v>714.99237840273747</v>
      </c>
      <c r="Y63" s="193">
        <v>113.32047362939151</v>
      </c>
      <c r="Z63" s="193">
        <v>231.4246838292014</v>
      </c>
      <c r="AA63" s="193">
        <v>370.24722094530034</v>
      </c>
      <c r="AB63" s="193">
        <v>53.429139313649401</v>
      </c>
      <c r="AC63" s="193">
        <v>5.9460019267654131E-2</v>
      </c>
      <c r="AD63" s="193">
        <v>3.2040912169078602E-3</v>
      </c>
      <c r="AE63" s="193">
        <v>55.870458977979297</v>
      </c>
      <c r="AF63" s="193">
        <v>0.11432235482771716</v>
      </c>
      <c r="AG63" s="193">
        <v>4.6916030049507909E-2</v>
      </c>
      <c r="AH63" s="193">
        <v>0.10481362320914239</v>
      </c>
      <c r="AI63" s="193">
        <v>3.5957764186122405E-2</v>
      </c>
      <c r="AJ63" s="193">
        <v>1.3229950265557663E-2</v>
      </c>
      <c r="AK63" s="193">
        <v>4.9404643335691854E-2</v>
      </c>
      <c r="AL63" s="191"/>
      <c r="AM63" s="195"/>
      <c r="AN63" s="191"/>
      <c r="AO63" s="191" t="s">
        <v>24</v>
      </c>
      <c r="AP63" s="193">
        <v>651.02312934030283</v>
      </c>
      <c r="AQ63" s="193">
        <v>488.2376526807264</v>
      </c>
      <c r="AR63" s="193">
        <v>77.381694849784495</v>
      </c>
      <c r="AS63" s="193">
        <v>158.02999838622608</v>
      </c>
      <c r="AT63" s="193">
        <v>252.82595944550508</v>
      </c>
      <c r="AU63" s="193">
        <v>36.484469417034873</v>
      </c>
      <c r="AV63" s="193">
        <v>4.0602698871340964E-2</v>
      </c>
      <c r="AW63" s="193">
        <v>2.1879365738313671E-3</v>
      </c>
      <c r="AX63" s="193">
        <v>38.151541987820146</v>
      </c>
      <c r="AY63" s="193">
        <v>7.8065836582355427E-2</v>
      </c>
      <c r="AZ63" s="193">
        <v>3.2036946233806825E-2</v>
      </c>
      <c r="BA63" s="193">
        <v>7.1572731277100093E-2</v>
      </c>
      <c r="BB63" s="193">
        <v>2.4554016115666443E-2</v>
      </c>
      <c r="BC63" s="193">
        <v>9.0341660384808033E-3</v>
      </c>
      <c r="BD63" s="193">
        <v>3.3736313592086724E-2</v>
      </c>
    </row>
    <row r="64" spans="1:56">
      <c r="A64" s="195"/>
      <c r="B64" s="196"/>
      <c r="C64" s="191" t="s">
        <v>243</v>
      </c>
      <c r="D64" s="192">
        <v>5334.2142784208345</v>
      </c>
      <c r="E64" s="192">
        <v>4989.8167145828138</v>
      </c>
      <c r="F64" s="192">
        <v>0</v>
      </c>
      <c r="G64" s="192">
        <v>0</v>
      </c>
      <c r="H64" s="192">
        <v>4989.8167145828138</v>
      </c>
      <c r="I64" s="192">
        <v>409.15646390899576</v>
      </c>
      <c r="J64" s="193">
        <v>2.2100000000000002E-2</v>
      </c>
      <c r="K64" s="193">
        <v>1.2E-2</v>
      </c>
      <c r="L64" s="192">
        <v>413.28496390899573</v>
      </c>
      <c r="M64" s="197">
        <v>0.22699999999999998</v>
      </c>
      <c r="N64" s="197">
        <v>4.6890000000000001</v>
      </c>
      <c r="O64" s="197">
        <v>0.3</v>
      </c>
      <c r="P64" s="197">
        <v>2.93E-2</v>
      </c>
      <c r="Q64" s="197">
        <v>1.54E-2</v>
      </c>
      <c r="R64" s="197">
        <v>6.1795241557313849E-3</v>
      </c>
      <c r="S64" s="197"/>
      <c r="T64" s="197"/>
      <c r="U64" s="191"/>
      <c r="V64" s="191" t="s">
        <v>243</v>
      </c>
      <c r="W64" s="193">
        <v>4753.2012449360473</v>
      </c>
      <c r="X64" s="193">
        <v>4446.3161361375214</v>
      </c>
      <c r="Y64" s="193">
        <v>0</v>
      </c>
      <c r="Z64" s="193">
        <v>0</v>
      </c>
      <c r="AA64" s="193">
        <v>4446.3161361375214</v>
      </c>
      <c r="AB64" s="193">
        <v>364.61644830976132</v>
      </c>
      <c r="AC64" s="193">
        <v>1.0200000000000001E-2</v>
      </c>
      <c r="AD64" s="193">
        <v>1.2E-2</v>
      </c>
      <c r="AE64" s="193">
        <v>368.44744830976134</v>
      </c>
      <c r="AF64" s="197">
        <v>0.15</v>
      </c>
      <c r="AG64" s="197">
        <v>3.46</v>
      </c>
      <c r="AH64" s="197">
        <v>6.9000000000000006E-2</v>
      </c>
      <c r="AI64" s="197">
        <v>2.86E-2</v>
      </c>
      <c r="AJ64" s="197">
        <v>1.4800000000000001E-2</v>
      </c>
      <c r="AK64" s="197">
        <v>5.5064383200650827E-3</v>
      </c>
      <c r="AL64" s="191"/>
      <c r="AM64" s="195"/>
      <c r="AN64" s="191"/>
      <c r="AO64" s="191" t="s">
        <v>243</v>
      </c>
      <c r="AP64" s="193">
        <v>3245.7574215420436</v>
      </c>
      <c r="AQ64" s="193">
        <v>3036.198732962479</v>
      </c>
      <c r="AR64" s="193">
        <v>0</v>
      </c>
      <c r="AS64" s="193">
        <v>0</v>
      </c>
      <c r="AT64" s="193">
        <v>3036.198732962479</v>
      </c>
      <c r="AU64" s="193">
        <v>248.98094613152273</v>
      </c>
      <c r="AV64" s="193">
        <v>6.9651428571428572E-3</v>
      </c>
      <c r="AW64" s="193">
        <v>8.1942857142857147E-3</v>
      </c>
      <c r="AX64" s="193">
        <v>251.59697184580844</v>
      </c>
      <c r="AY64" s="197">
        <v>0.12050571428571427</v>
      </c>
      <c r="AZ64" s="197">
        <v>2.3626857142857141</v>
      </c>
      <c r="BA64" s="197">
        <v>4.7117142857142857E-2</v>
      </c>
      <c r="BB64" s="197">
        <v>2.6031142857142857E-2</v>
      </c>
      <c r="BC64" s="197">
        <v>1.2421428571428571E-2</v>
      </c>
      <c r="BD64" s="197">
        <v>3.7601107385587277E-3</v>
      </c>
    </row>
    <row r="65" spans="1:56">
      <c r="A65" s="195"/>
      <c r="B65" s="196"/>
      <c r="C65" s="191" t="s">
        <v>244</v>
      </c>
      <c r="D65" s="192">
        <v>632.74927705959908</v>
      </c>
      <c r="E65" s="192">
        <v>592.19963095937544</v>
      </c>
      <c r="F65" s="192">
        <v>223.40683084924885</v>
      </c>
      <c r="G65" s="192">
        <v>242.87483540154989</v>
      </c>
      <c r="H65" s="192">
        <v>125.91796470857669</v>
      </c>
      <c r="I65" s="192">
        <v>47.40363444652791</v>
      </c>
      <c r="J65" s="193">
        <v>8.2213299701751355E-2</v>
      </c>
      <c r="K65" s="193">
        <v>5.4867086955284565E-4</v>
      </c>
      <c r="L65" s="192">
        <v>49.62247085819844</v>
      </c>
      <c r="M65" s="193">
        <v>0.20637027837064206</v>
      </c>
      <c r="N65" s="193">
        <v>0.24962827450486438</v>
      </c>
      <c r="O65" s="193">
        <v>7.505494729309016E-2</v>
      </c>
      <c r="P65" s="193">
        <v>8.1869485998395594E-2</v>
      </c>
      <c r="Q65" s="193">
        <v>3.256749688005809E-2</v>
      </c>
      <c r="R65" s="193">
        <v>0.13740756474092966</v>
      </c>
      <c r="S65" s="193"/>
      <c r="T65" s="193"/>
      <c r="U65" s="191"/>
      <c r="V65" s="191" t="s">
        <v>244</v>
      </c>
      <c r="W65" s="193">
        <v>632.74927705959908</v>
      </c>
      <c r="X65" s="193">
        <v>592.19963095937544</v>
      </c>
      <c r="Y65" s="193">
        <v>223.40683084924885</v>
      </c>
      <c r="Z65" s="193">
        <v>242.87483540154989</v>
      </c>
      <c r="AA65" s="193">
        <v>125.91796470857669</v>
      </c>
      <c r="AB65" s="193">
        <v>47.40363444652791</v>
      </c>
      <c r="AC65" s="193">
        <v>8.2213299701751355E-2</v>
      </c>
      <c r="AD65" s="193">
        <v>5.4867086955284565E-4</v>
      </c>
      <c r="AE65" s="193">
        <v>49.62247085819844</v>
      </c>
      <c r="AF65" s="193">
        <v>0.20637027837064206</v>
      </c>
      <c r="AG65" s="193">
        <v>0.24962827450486438</v>
      </c>
      <c r="AH65" s="193">
        <v>7.505494729309016E-2</v>
      </c>
      <c r="AI65" s="193">
        <v>8.1869485998395594E-2</v>
      </c>
      <c r="AJ65" s="193">
        <v>3.256749688005809E-2</v>
      </c>
      <c r="AK65" s="193">
        <v>0.13740756474092966</v>
      </c>
      <c r="AL65" s="191"/>
      <c r="AM65" s="195"/>
      <c r="AN65" s="191"/>
      <c r="AO65" s="191" t="s">
        <v>244</v>
      </c>
      <c r="AP65" s="193">
        <v>632.74927705959908</v>
      </c>
      <c r="AQ65" s="193">
        <v>592.19963095937544</v>
      </c>
      <c r="AR65" s="193">
        <v>223.40683084924885</v>
      </c>
      <c r="AS65" s="193">
        <v>242.87483540154989</v>
      </c>
      <c r="AT65" s="193">
        <v>125.91796470857669</v>
      </c>
      <c r="AU65" s="193">
        <v>47.40363444652791</v>
      </c>
      <c r="AV65" s="193">
        <v>8.2213299701751355E-2</v>
      </c>
      <c r="AW65" s="193">
        <v>5.4867086955284565E-4</v>
      </c>
      <c r="AX65" s="193">
        <v>49.62247085819844</v>
      </c>
      <c r="AY65" s="193">
        <v>0.20637027837064206</v>
      </c>
      <c r="AZ65" s="193">
        <v>0.24962827450486438</v>
      </c>
      <c r="BA65" s="193">
        <v>7.505494729309016E-2</v>
      </c>
      <c r="BB65" s="193">
        <v>8.1869485998395594E-2</v>
      </c>
      <c r="BC65" s="193">
        <v>3.256749688005809E-2</v>
      </c>
      <c r="BD65" s="193">
        <v>0.13740756474092966</v>
      </c>
    </row>
    <row r="66" spans="1:56">
      <c r="A66" s="195"/>
      <c r="B66" s="196" t="s">
        <v>116</v>
      </c>
      <c r="C66" s="191" t="s">
        <v>23</v>
      </c>
      <c r="D66" s="192">
        <v>158.5844801213137</v>
      </c>
      <c r="E66" s="192">
        <v>153.15549189868221</v>
      </c>
      <c r="F66" s="192">
        <v>29.334466228529021</v>
      </c>
      <c r="G66" s="192">
        <v>67.498621481766222</v>
      </c>
      <c r="H66" s="192">
        <v>56.32240418766947</v>
      </c>
      <c r="I66" s="192">
        <v>12.224315316263963</v>
      </c>
      <c r="J66" s="193">
        <v>0.50716650652227802</v>
      </c>
      <c r="K66" s="193">
        <v>2.846339145052568E-4</v>
      </c>
      <c r="L66" s="192">
        <v>24.988298885843477</v>
      </c>
      <c r="M66" s="193">
        <v>2.8676904890771994E-2</v>
      </c>
      <c r="N66" s="193">
        <v>2.1978267461656428E-2</v>
      </c>
      <c r="O66" s="193">
        <v>8.3054801920849533E-2</v>
      </c>
      <c r="P66" s="193">
        <v>0.50336760700317407</v>
      </c>
      <c r="Q66" s="193">
        <v>0.12619955581536341</v>
      </c>
      <c r="R66" s="193">
        <v>4.3001958231192801E-2</v>
      </c>
      <c r="S66" s="193"/>
      <c r="T66" s="193"/>
      <c r="U66" s="191" t="s">
        <v>116</v>
      </c>
      <c r="V66" s="191" t="s">
        <v>23</v>
      </c>
      <c r="W66" s="193">
        <v>126.30201238229007</v>
      </c>
      <c r="X66" s="193">
        <v>123.89364007424368</v>
      </c>
      <c r="Y66" s="193">
        <v>14.975698636833757</v>
      </c>
      <c r="Z66" s="193">
        <v>68.413107381016076</v>
      </c>
      <c r="AA66" s="193">
        <v>40.504834057680604</v>
      </c>
      <c r="AB66" s="193">
        <v>9.4981144053318136</v>
      </c>
      <c r="AC66" s="193">
        <v>0.40561107249400935</v>
      </c>
      <c r="AD66" s="193">
        <v>2.3154259560609729E-4</v>
      </c>
      <c r="AE66" s="193">
        <v>19.707390911172666</v>
      </c>
      <c r="AF66" s="193">
        <v>2.1277680617822325E-2</v>
      </c>
      <c r="AG66" s="193">
        <v>1.2593462769558831E-2</v>
      </c>
      <c r="AH66" s="193">
        <v>4.3372352409694427E-2</v>
      </c>
      <c r="AI66" s="193">
        <v>0.35208660806628972</v>
      </c>
      <c r="AJ66" s="193">
        <v>8.7839629499339211E-2</v>
      </c>
      <c r="AK66" s="193">
        <v>2.7108197579071937E-2</v>
      </c>
      <c r="AL66" s="191"/>
      <c r="AM66" s="195"/>
      <c r="AN66" s="191" t="s">
        <v>116</v>
      </c>
      <c r="AO66" s="191" t="s">
        <v>23</v>
      </c>
      <c r="AP66" s="193">
        <v>126.30201238229007</v>
      </c>
      <c r="AQ66" s="193">
        <v>123.89364007424368</v>
      </c>
      <c r="AR66" s="193">
        <v>14.975698636833757</v>
      </c>
      <c r="AS66" s="193">
        <v>68.413107381016076</v>
      </c>
      <c r="AT66" s="193">
        <v>40.504834057680604</v>
      </c>
      <c r="AU66" s="193">
        <v>9.4981144053318136</v>
      </c>
      <c r="AV66" s="193">
        <v>0.40561107249400935</v>
      </c>
      <c r="AW66" s="193">
        <v>2.3154259560609729E-4</v>
      </c>
      <c r="AX66" s="193">
        <v>19.707390911172666</v>
      </c>
      <c r="AY66" s="193">
        <v>2.1277680617822325E-2</v>
      </c>
      <c r="AZ66" s="193">
        <v>1.2593462769558831E-2</v>
      </c>
      <c r="BA66" s="193">
        <v>4.3372352409694427E-2</v>
      </c>
      <c r="BB66" s="193">
        <v>0.35208660806628972</v>
      </c>
      <c r="BC66" s="193">
        <v>8.7839629499339211E-2</v>
      </c>
      <c r="BD66" s="193">
        <v>2.7108197579071937E-2</v>
      </c>
    </row>
    <row r="67" spans="1:56">
      <c r="A67" s="195"/>
      <c r="B67" s="196"/>
      <c r="C67" s="191" t="s">
        <v>24</v>
      </c>
      <c r="D67" s="192">
        <v>2733.9799466637387</v>
      </c>
      <c r="E67" s="192">
        <v>2350.0370977707466</v>
      </c>
      <c r="F67" s="192">
        <v>1808.8688496153886</v>
      </c>
      <c r="G67" s="192">
        <v>460.51870217845027</v>
      </c>
      <c r="H67" s="192">
        <v>80.649545979192567</v>
      </c>
      <c r="I67" s="192">
        <v>379.52603817220796</v>
      </c>
      <c r="J67" s="193">
        <v>6.6503335062952215E-3</v>
      </c>
      <c r="K67" s="193">
        <v>5.0672619270320908E-3</v>
      </c>
      <c r="L67" s="192">
        <v>381.2023405641209</v>
      </c>
      <c r="M67" s="193">
        <v>7.0986736055291943E-3</v>
      </c>
      <c r="N67" s="193">
        <v>7.1085770652801958E-2</v>
      </c>
      <c r="O67" s="193">
        <v>0.52958947444999205</v>
      </c>
      <c r="P67" s="193">
        <v>3.0636551177099229E-2</v>
      </c>
      <c r="Q67" s="193">
        <v>1.6125224811208042E-2</v>
      </c>
      <c r="R67" s="193">
        <v>1.3131210193721012</v>
      </c>
      <c r="S67" s="193"/>
      <c r="T67" s="193"/>
      <c r="U67" s="191"/>
      <c r="V67" s="191" t="s">
        <v>24</v>
      </c>
      <c r="W67" s="193">
        <v>2060.5968000984485</v>
      </c>
      <c r="X67" s="193">
        <v>1812.1426745983988</v>
      </c>
      <c r="Y67" s="193">
        <v>1268.7686815713955</v>
      </c>
      <c r="Z67" s="193">
        <v>490.85467792999583</v>
      </c>
      <c r="AA67" s="193">
        <v>52.519315090540111</v>
      </c>
      <c r="AB67" s="193">
        <v>283.33198709263917</v>
      </c>
      <c r="AC67" s="193">
        <v>6.1043535187429313E-3</v>
      </c>
      <c r="AD67" s="193">
        <v>4.2986931239581798E-3</v>
      </c>
      <c r="AE67" s="193">
        <v>284.76560648154725</v>
      </c>
      <c r="AF67" s="193">
        <v>4.9248472261905207E-3</v>
      </c>
      <c r="AG67" s="193">
        <v>6.8718738937041959E-2</v>
      </c>
      <c r="AH67" s="193">
        <v>0.23260349106307018</v>
      </c>
      <c r="AI67" s="193">
        <v>1.7889704731262123E-2</v>
      </c>
      <c r="AJ67" s="193">
        <v>9.8280249701571086E-3</v>
      </c>
      <c r="AK67" s="193">
        <v>0.52995561472193564</v>
      </c>
      <c r="AL67" s="191"/>
      <c r="AM67" s="195"/>
      <c r="AN67" s="191"/>
      <c r="AO67" s="191" t="s">
        <v>24</v>
      </c>
      <c r="AP67" s="193">
        <v>2060.5968000984485</v>
      </c>
      <c r="AQ67" s="193">
        <v>1812.1426745983988</v>
      </c>
      <c r="AR67" s="193">
        <v>1268.7686815713955</v>
      </c>
      <c r="AS67" s="193">
        <v>490.85467792999583</v>
      </c>
      <c r="AT67" s="193">
        <v>52.519315090540111</v>
      </c>
      <c r="AU67" s="193">
        <v>283.33198709263917</v>
      </c>
      <c r="AV67" s="193">
        <v>6.1043535187429313E-3</v>
      </c>
      <c r="AW67" s="193">
        <v>4.2986931239581798E-3</v>
      </c>
      <c r="AX67" s="193">
        <v>284.76560648154725</v>
      </c>
      <c r="AY67" s="193">
        <v>4.9248472261905207E-3</v>
      </c>
      <c r="AZ67" s="193">
        <v>6.8718738937041959E-2</v>
      </c>
      <c r="BA67" s="193">
        <v>0.23260349106307018</v>
      </c>
      <c r="BB67" s="193">
        <v>1.7889704731262123E-2</v>
      </c>
      <c r="BC67" s="193">
        <v>9.8280249701571086E-3</v>
      </c>
      <c r="BD67" s="193">
        <v>0.52995561472193564</v>
      </c>
    </row>
    <row r="68" spans="1:56">
      <c r="A68" s="195"/>
      <c r="B68" s="196"/>
      <c r="C68" s="191" t="s">
        <v>243</v>
      </c>
      <c r="D68" s="192">
        <v>1778.0714261402779</v>
      </c>
      <c r="E68" s="192">
        <v>1538.722932710119</v>
      </c>
      <c r="F68" s="192">
        <v>1129.9512505243677</v>
      </c>
      <c r="G68" s="192">
        <v>324.57445272354994</v>
      </c>
      <c r="H68" s="192">
        <v>84.197229461859052</v>
      </c>
      <c r="I68" s="192">
        <v>0</v>
      </c>
      <c r="J68" s="193">
        <v>0</v>
      </c>
      <c r="K68" s="193">
        <v>0</v>
      </c>
      <c r="L68" s="192">
        <v>0</v>
      </c>
      <c r="M68" s="197">
        <v>0</v>
      </c>
      <c r="N68" s="197">
        <v>0</v>
      </c>
      <c r="O68" s="197">
        <v>0</v>
      </c>
      <c r="P68" s="197">
        <v>2.0500000000000001E-2</v>
      </c>
      <c r="Q68" s="197">
        <v>7.3000000000000001E-3</v>
      </c>
      <c r="R68" s="197">
        <v>0</v>
      </c>
      <c r="S68" s="197"/>
      <c r="T68" s="197"/>
      <c r="U68" s="191"/>
      <c r="V68" s="191" t="s">
        <v>243</v>
      </c>
      <c r="W68" s="193">
        <v>1358.0574985531564</v>
      </c>
      <c r="X68" s="193">
        <v>1202.2726518427251</v>
      </c>
      <c r="Y68" s="193">
        <v>797.20134827243726</v>
      </c>
      <c r="Z68" s="193">
        <v>347.30359041750563</v>
      </c>
      <c r="AA68" s="193">
        <v>57.767713153680113</v>
      </c>
      <c r="AB68" s="193">
        <v>0</v>
      </c>
      <c r="AC68" s="193">
        <v>0</v>
      </c>
      <c r="AD68" s="193">
        <v>0</v>
      </c>
      <c r="AE68" s="193">
        <v>0</v>
      </c>
      <c r="AF68" s="197">
        <v>0</v>
      </c>
      <c r="AG68" s="197">
        <v>0</v>
      </c>
      <c r="AH68" s="197">
        <v>0</v>
      </c>
      <c r="AI68" s="197">
        <v>2.0500000000000001E-2</v>
      </c>
      <c r="AJ68" s="197">
        <v>7.3000000000000001E-3</v>
      </c>
      <c r="AK68" s="197">
        <v>0</v>
      </c>
      <c r="AL68" s="191"/>
      <c r="AM68" s="195"/>
      <c r="AN68" s="191"/>
      <c r="AO68" s="191" t="s">
        <v>243</v>
      </c>
      <c r="AP68" s="193">
        <v>1358.0574985531564</v>
      </c>
      <c r="AQ68" s="193">
        <v>1202.2726518427251</v>
      </c>
      <c r="AR68" s="193">
        <v>797.20134827243726</v>
      </c>
      <c r="AS68" s="193">
        <v>347.30359041750563</v>
      </c>
      <c r="AT68" s="193">
        <v>57.767713153680113</v>
      </c>
      <c r="AU68" s="193">
        <v>0</v>
      </c>
      <c r="AV68" s="193">
        <v>0</v>
      </c>
      <c r="AW68" s="193">
        <v>0</v>
      </c>
      <c r="AX68" s="193">
        <v>0</v>
      </c>
      <c r="AY68" s="197">
        <v>0</v>
      </c>
      <c r="AZ68" s="197">
        <v>0</v>
      </c>
      <c r="BA68" s="197">
        <v>0</v>
      </c>
      <c r="BB68" s="197">
        <v>2.0500000000000001E-2</v>
      </c>
      <c r="BC68" s="197">
        <v>7.3000000000000001E-3</v>
      </c>
      <c r="BD68" s="197">
        <v>0</v>
      </c>
    </row>
    <row r="69" spans="1:56">
      <c r="A69" s="195"/>
      <c r="B69" s="196"/>
      <c r="C69" s="191" t="s">
        <v>244</v>
      </c>
      <c r="D69" s="192">
        <v>644.71951322465952</v>
      </c>
      <c r="E69" s="192">
        <v>600.03255403112132</v>
      </c>
      <c r="F69" s="192">
        <v>235.21487792895351</v>
      </c>
      <c r="G69" s="192">
        <v>243.29859539360234</v>
      </c>
      <c r="H69" s="192">
        <v>121.51908070856545</v>
      </c>
      <c r="I69" s="192">
        <v>49.731168827876893</v>
      </c>
      <c r="J69" s="193">
        <v>8.2916211840667359E-2</v>
      </c>
      <c r="K69" s="193">
        <v>5.9094461549456291E-4</v>
      </c>
      <c r="L69" s="192">
        <v>51.980175619310948</v>
      </c>
      <c r="M69" s="193">
        <v>0.20565915308325231</v>
      </c>
      <c r="N69" s="193">
        <v>0.2255893409388596</v>
      </c>
      <c r="O69" s="193">
        <v>7.7114258603682331E-2</v>
      </c>
      <c r="P69" s="193">
        <v>7.9979638822965549E-2</v>
      </c>
      <c r="Q69" s="193">
        <v>3.1078577280860383E-2</v>
      </c>
      <c r="R69" s="193">
        <v>0.22838496762374849</v>
      </c>
      <c r="S69" s="193"/>
      <c r="T69" s="193"/>
      <c r="U69" s="191"/>
      <c r="V69" s="191" t="s">
        <v>244</v>
      </c>
      <c r="W69" s="193">
        <v>644.71951322465952</v>
      </c>
      <c r="X69" s="193">
        <v>600.03255403112132</v>
      </c>
      <c r="Y69" s="193">
        <v>235.21487792895351</v>
      </c>
      <c r="Z69" s="193">
        <v>243.29859539360234</v>
      </c>
      <c r="AA69" s="193">
        <v>121.51908070856545</v>
      </c>
      <c r="AB69" s="193">
        <v>49.731168827876893</v>
      </c>
      <c r="AC69" s="193">
        <v>8.2916211840667359E-2</v>
      </c>
      <c r="AD69" s="193">
        <v>5.9094461549456291E-4</v>
      </c>
      <c r="AE69" s="193">
        <v>51.980175619310948</v>
      </c>
      <c r="AF69" s="193">
        <v>0.20565915308325231</v>
      </c>
      <c r="AG69" s="193">
        <v>0.2255893409388596</v>
      </c>
      <c r="AH69" s="193">
        <v>7.7114258603682331E-2</v>
      </c>
      <c r="AI69" s="193">
        <v>7.9979638822965549E-2</v>
      </c>
      <c r="AJ69" s="193">
        <v>3.1078577280860383E-2</v>
      </c>
      <c r="AK69" s="193">
        <v>0.22838496762374849</v>
      </c>
      <c r="AL69" s="191"/>
      <c r="AM69" s="195"/>
      <c r="AN69" s="191"/>
      <c r="AO69" s="191" t="s">
        <v>244</v>
      </c>
      <c r="AP69" s="193">
        <v>644.71951322465952</v>
      </c>
      <c r="AQ69" s="193">
        <v>600.03255403112132</v>
      </c>
      <c r="AR69" s="193">
        <v>235.21487792895351</v>
      </c>
      <c r="AS69" s="193">
        <v>243.29859539360234</v>
      </c>
      <c r="AT69" s="193">
        <v>121.51908070856545</v>
      </c>
      <c r="AU69" s="193">
        <v>49.731168827876893</v>
      </c>
      <c r="AV69" s="193">
        <v>8.2916211840667359E-2</v>
      </c>
      <c r="AW69" s="193">
        <v>5.9094461549456291E-4</v>
      </c>
      <c r="AX69" s="193">
        <v>51.980175619310948</v>
      </c>
      <c r="AY69" s="193">
        <v>0.20565915308325231</v>
      </c>
      <c r="AZ69" s="193">
        <v>0.2255893409388596</v>
      </c>
      <c r="BA69" s="193">
        <v>7.7114258603682331E-2</v>
      </c>
      <c r="BB69" s="193">
        <v>7.9979638822965549E-2</v>
      </c>
      <c r="BC69" s="193">
        <v>3.1078577280860383E-2</v>
      </c>
      <c r="BD69" s="193">
        <v>0.22838496762374849</v>
      </c>
    </row>
    <row r="70" spans="1:56">
      <c r="A70" s="195"/>
      <c r="B70" s="196" t="s">
        <v>2184</v>
      </c>
      <c r="C70" s="191" t="s">
        <v>23</v>
      </c>
      <c r="D70" s="192">
        <v>179.90791238113877</v>
      </c>
      <c r="E70" s="192">
        <v>178.5734538175127</v>
      </c>
      <c r="F70" s="192">
        <v>6.434169877755247</v>
      </c>
      <c r="G70" s="192">
        <v>162.19709762806221</v>
      </c>
      <c r="H70" s="192">
        <v>9.9421863109272639</v>
      </c>
      <c r="I70" s="192">
        <v>12.720514704510574</v>
      </c>
      <c r="J70" s="193">
        <v>0.55319358413769615</v>
      </c>
      <c r="K70" s="193">
        <v>2.1419291697905853E-4</v>
      </c>
      <c r="L70" s="192">
        <v>26.614183797212739</v>
      </c>
      <c r="M70" s="193">
        <v>1.4364588221126058E-2</v>
      </c>
      <c r="N70" s="193">
        <v>2.9922559868886582E-2</v>
      </c>
      <c r="O70" s="193">
        <v>6.6823932330077412E-2</v>
      </c>
      <c r="P70" s="197">
        <v>2.4160004475114712E-3</v>
      </c>
      <c r="Q70" s="197">
        <v>1.4636535449983109E-3</v>
      </c>
      <c r="R70" s="197">
        <v>2.8959251831012934E-2</v>
      </c>
      <c r="S70" s="197"/>
      <c r="T70" s="197"/>
      <c r="U70" s="191" t="s">
        <v>2184</v>
      </c>
      <c r="V70" s="191" t="s">
        <v>23</v>
      </c>
      <c r="W70" s="193">
        <v>152.61517655881494</v>
      </c>
      <c r="X70" s="193">
        <v>151.65557801929299</v>
      </c>
      <c r="Y70" s="193">
        <v>5.0513070530016577</v>
      </c>
      <c r="Z70" s="193">
        <v>138.15147043276389</v>
      </c>
      <c r="AA70" s="193">
        <v>8.45280053491771</v>
      </c>
      <c r="AB70" s="193">
        <v>10.780656091561715</v>
      </c>
      <c r="AC70" s="193">
        <v>0.46849526246853623</v>
      </c>
      <c r="AD70" s="193">
        <v>1.8274974679154723E-4</v>
      </c>
      <c r="AE70" s="193">
        <v>22.547497077819003</v>
      </c>
      <c r="AF70" s="193">
        <v>1.1768960346951603E-2</v>
      </c>
      <c r="AG70" s="193">
        <v>1.5904022895979572E-2</v>
      </c>
      <c r="AH70" s="193">
        <v>4.0839941981821518E-2</v>
      </c>
      <c r="AI70" s="197">
        <v>1.6824279399588668E-3</v>
      </c>
      <c r="AJ70" s="197">
        <v>9.6906590260412953E-4</v>
      </c>
      <c r="AK70" s="197">
        <v>2.2643596888569161E-2</v>
      </c>
      <c r="AL70" s="191"/>
      <c r="AM70" s="195"/>
      <c r="AN70" s="191" t="s">
        <v>2184</v>
      </c>
      <c r="AO70" s="191" t="s">
        <v>23</v>
      </c>
      <c r="AP70" s="193">
        <v>152.61517655881494</v>
      </c>
      <c r="AQ70" s="193">
        <v>151.65557801929299</v>
      </c>
      <c r="AR70" s="193">
        <v>5.0513070530016577</v>
      </c>
      <c r="AS70" s="193">
        <v>138.15147043276389</v>
      </c>
      <c r="AT70" s="193">
        <v>8.45280053491771</v>
      </c>
      <c r="AU70" s="193">
        <v>10.780656091561715</v>
      </c>
      <c r="AV70" s="193">
        <v>0.46849526246853623</v>
      </c>
      <c r="AW70" s="193">
        <v>1.8274974679154723E-4</v>
      </c>
      <c r="AX70" s="193">
        <v>22.547497077819003</v>
      </c>
      <c r="AY70" s="193">
        <v>1.1768960346951603E-2</v>
      </c>
      <c r="AZ70" s="193">
        <v>1.5904022895979572E-2</v>
      </c>
      <c r="BA70" s="193">
        <v>4.0839941981821518E-2</v>
      </c>
      <c r="BB70" s="197">
        <v>1.6824279399588668E-3</v>
      </c>
      <c r="BC70" s="197">
        <v>9.6906590260412953E-4</v>
      </c>
      <c r="BD70" s="197">
        <v>2.2643596888569161E-2</v>
      </c>
    </row>
    <row r="71" spans="1:56">
      <c r="A71" s="195"/>
      <c r="B71" s="196"/>
      <c r="C71" s="191" t="s">
        <v>24</v>
      </c>
      <c r="D71" s="192">
        <v>1538.6682091118587</v>
      </c>
      <c r="E71" s="192">
        <v>1468.0661414767978</v>
      </c>
      <c r="F71" s="192">
        <v>333.36288151336123</v>
      </c>
      <c r="G71" s="192">
        <v>1106.0323497153456</v>
      </c>
      <c r="H71" s="192">
        <v>28.670910247698778</v>
      </c>
      <c r="I71" s="192">
        <v>242.78963854159232</v>
      </c>
      <c r="J71" s="193">
        <v>0.28231322351867189</v>
      </c>
      <c r="K71" s="193">
        <v>9.6691516867728898E-4</v>
      </c>
      <c r="L71" s="192">
        <v>250.13560984982496</v>
      </c>
      <c r="M71" s="197">
        <v>1.4837279266512696E-2</v>
      </c>
      <c r="N71" s="197">
        <v>5.3288624421910215E-2</v>
      </c>
      <c r="O71" s="197">
        <v>0.13982724349133074</v>
      </c>
      <c r="P71" s="197">
        <v>8.873640595030341E-2</v>
      </c>
      <c r="Q71" s="197">
        <v>4.4703822799980503E-2</v>
      </c>
      <c r="R71" s="197">
        <v>0.16285671379691971</v>
      </c>
      <c r="S71" s="197"/>
      <c r="T71" s="197"/>
      <c r="U71" s="191"/>
      <c r="V71" s="191" t="s">
        <v>24</v>
      </c>
      <c r="W71" s="193">
        <v>1232.584775381704</v>
      </c>
      <c r="X71" s="193">
        <v>1182.8412485198885</v>
      </c>
      <c r="Y71" s="193">
        <v>254.60666972116888</v>
      </c>
      <c r="Z71" s="193">
        <v>906.7402329976419</v>
      </c>
      <c r="AA71" s="193">
        <v>21.494345801759728</v>
      </c>
      <c r="AB71" s="193">
        <v>200.57893640878325</v>
      </c>
      <c r="AC71" s="193">
        <v>0.22727901132197714</v>
      </c>
      <c r="AD71" s="193">
        <v>8.5443483777805022E-4</v>
      </c>
      <c r="AE71" s="193">
        <v>206.51553327349055</v>
      </c>
      <c r="AF71" s="197">
        <v>1.1833765154549975E-2</v>
      </c>
      <c r="AG71" s="197">
        <v>4.0473777965871892E-2</v>
      </c>
      <c r="AH71" s="197">
        <v>8.3625614829842682E-2</v>
      </c>
      <c r="AI71" s="197">
        <v>6.9384075112256E-2</v>
      </c>
      <c r="AJ71" s="197">
        <v>3.6047000201748093E-2</v>
      </c>
      <c r="AK71" s="197">
        <v>7.6184222513852096E-2</v>
      </c>
      <c r="AL71" s="191"/>
      <c r="AM71" s="195"/>
      <c r="AN71" s="191"/>
      <c r="AO71" s="191" t="s">
        <v>24</v>
      </c>
      <c r="AP71" s="193">
        <v>1232.584775381704</v>
      </c>
      <c r="AQ71" s="193">
        <v>1182.8412485198885</v>
      </c>
      <c r="AR71" s="193">
        <v>254.60666972116888</v>
      </c>
      <c r="AS71" s="193">
        <v>906.7402329976419</v>
      </c>
      <c r="AT71" s="193">
        <v>21.494345801759728</v>
      </c>
      <c r="AU71" s="193">
        <v>200.57893640878325</v>
      </c>
      <c r="AV71" s="193">
        <v>0.22727901132197714</v>
      </c>
      <c r="AW71" s="193">
        <v>8.5443483777805022E-4</v>
      </c>
      <c r="AX71" s="193">
        <v>206.51553327349055</v>
      </c>
      <c r="AY71" s="197">
        <v>1.1833765154549975E-2</v>
      </c>
      <c r="AZ71" s="197">
        <v>4.0473777965871892E-2</v>
      </c>
      <c r="BA71" s="197">
        <v>8.3625614829842682E-2</v>
      </c>
      <c r="BB71" s="197">
        <v>6.9384075112256E-2</v>
      </c>
      <c r="BC71" s="197">
        <v>3.6047000201748093E-2</v>
      </c>
      <c r="BD71" s="197">
        <v>7.6184222513852096E-2</v>
      </c>
    </row>
    <row r="72" spans="1:56">
      <c r="A72" s="195"/>
      <c r="B72" s="196"/>
      <c r="C72" s="191" t="s">
        <v>243</v>
      </c>
      <c r="D72" s="192">
        <v>2319.2235993134063</v>
      </c>
      <c r="E72" s="192">
        <v>2319.2235993134063</v>
      </c>
      <c r="F72" s="192">
        <v>0</v>
      </c>
      <c r="G72" s="192">
        <v>2319.2235993134063</v>
      </c>
      <c r="H72" s="192">
        <v>0</v>
      </c>
      <c r="I72" s="192">
        <v>0</v>
      </c>
      <c r="J72" s="193">
        <v>0</v>
      </c>
      <c r="K72" s="193">
        <v>0</v>
      </c>
      <c r="L72" s="192">
        <v>0</v>
      </c>
      <c r="M72" s="197">
        <v>0</v>
      </c>
      <c r="N72" s="197">
        <v>0</v>
      </c>
      <c r="O72" s="197">
        <v>0</v>
      </c>
      <c r="P72" s="197">
        <v>2.0500000000000001E-2</v>
      </c>
      <c r="Q72" s="197">
        <v>7.3000000000000001E-3</v>
      </c>
      <c r="R72" s="197">
        <v>0</v>
      </c>
      <c r="S72" s="197"/>
      <c r="T72" s="197"/>
      <c r="U72" s="191"/>
      <c r="V72" s="191" t="s">
        <v>243</v>
      </c>
      <c r="W72" s="193">
        <v>1964.1327458413418</v>
      </c>
      <c r="X72" s="193">
        <v>1964.1327458413418</v>
      </c>
      <c r="Y72" s="193">
        <v>0</v>
      </c>
      <c r="Z72" s="193">
        <v>1964.1327458413418</v>
      </c>
      <c r="AA72" s="193">
        <v>0</v>
      </c>
      <c r="AB72" s="193">
        <v>0</v>
      </c>
      <c r="AC72" s="193">
        <v>0</v>
      </c>
      <c r="AD72" s="193">
        <v>0</v>
      </c>
      <c r="AE72" s="193">
        <v>0</v>
      </c>
      <c r="AF72" s="197">
        <v>0</v>
      </c>
      <c r="AG72" s="197">
        <v>0</v>
      </c>
      <c r="AH72" s="197">
        <v>0</v>
      </c>
      <c r="AI72" s="197">
        <v>2.0500000000000001E-2</v>
      </c>
      <c r="AJ72" s="197">
        <v>7.3000000000000001E-3</v>
      </c>
      <c r="AK72" s="197">
        <v>0</v>
      </c>
      <c r="AL72" s="191"/>
      <c r="AM72" s="195"/>
      <c r="AN72" s="191"/>
      <c r="AO72" s="191" t="s">
        <v>243</v>
      </c>
      <c r="AP72" s="193">
        <v>1964.1327458413418</v>
      </c>
      <c r="AQ72" s="193">
        <v>1964.1327458413418</v>
      </c>
      <c r="AR72" s="193">
        <v>0</v>
      </c>
      <c r="AS72" s="193">
        <v>1964.1327458413418</v>
      </c>
      <c r="AT72" s="193">
        <v>0</v>
      </c>
      <c r="AU72" s="193">
        <v>0</v>
      </c>
      <c r="AV72" s="193">
        <v>0</v>
      </c>
      <c r="AW72" s="193">
        <v>0</v>
      </c>
      <c r="AX72" s="193">
        <v>0</v>
      </c>
      <c r="AY72" s="197">
        <v>0</v>
      </c>
      <c r="AZ72" s="197">
        <v>0</v>
      </c>
      <c r="BA72" s="197">
        <v>0</v>
      </c>
      <c r="BB72" s="197">
        <v>2.0500000000000001E-2</v>
      </c>
      <c r="BC72" s="197">
        <v>7.3000000000000001E-3</v>
      </c>
      <c r="BD72" s="197">
        <v>0</v>
      </c>
    </row>
    <row r="73" spans="1:56">
      <c r="A73" s="195"/>
      <c r="B73" s="196"/>
      <c r="C73" s="191" t="s">
        <v>244</v>
      </c>
      <c r="D73" s="192">
        <v>791.55387816580276</v>
      </c>
      <c r="E73" s="192">
        <v>731.82065712527879</v>
      </c>
      <c r="F73" s="192">
        <v>264.36007699228543</v>
      </c>
      <c r="G73" s="192">
        <v>307.94951249195026</v>
      </c>
      <c r="H73" s="192">
        <v>159.51106764104307</v>
      </c>
      <c r="I73" s="192">
        <v>61.828975203342559</v>
      </c>
      <c r="J73" s="193">
        <v>0.10152540236429665</v>
      </c>
      <c r="K73" s="193">
        <v>7.3384050313597281E-4</v>
      </c>
      <c r="L73" s="192">
        <v>64.585794732384485</v>
      </c>
      <c r="M73" s="193">
        <v>0.2050863379746394</v>
      </c>
      <c r="N73" s="193">
        <v>0.21743879234211722</v>
      </c>
      <c r="O73" s="193">
        <v>9.3673015899303921E-2</v>
      </c>
      <c r="P73" s="197">
        <v>9.1834484307306688E-2</v>
      </c>
      <c r="Q73" s="197">
        <v>3.613754824527883E-2</v>
      </c>
      <c r="R73" s="197">
        <v>0.28637836668884042</v>
      </c>
      <c r="S73" s="197"/>
      <c r="T73" s="197"/>
      <c r="U73" s="191"/>
      <c r="V73" s="191" t="s">
        <v>244</v>
      </c>
      <c r="W73" s="193">
        <v>791.55387816580276</v>
      </c>
      <c r="X73" s="193">
        <v>731.82065712527879</v>
      </c>
      <c r="Y73" s="193">
        <v>264.36007699228543</v>
      </c>
      <c r="Z73" s="193">
        <v>307.94951249195026</v>
      </c>
      <c r="AA73" s="193">
        <v>159.51106764104307</v>
      </c>
      <c r="AB73" s="193">
        <v>61.828975203342559</v>
      </c>
      <c r="AC73" s="193">
        <v>0.10152540236429665</v>
      </c>
      <c r="AD73" s="193">
        <v>7.3384050313597281E-4</v>
      </c>
      <c r="AE73" s="193">
        <v>64.585794732384485</v>
      </c>
      <c r="AF73" s="193">
        <v>0.2050863379746394</v>
      </c>
      <c r="AG73" s="193">
        <v>0.21743879234211722</v>
      </c>
      <c r="AH73" s="193">
        <v>9.3673015899303921E-2</v>
      </c>
      <c r="AI73" s="197">
        <v>9.1834484307306688E-2</v>
      </c>
      <c r="AJ73" s="197">
        <v>3.613754824527883E-2</v>
      </c>
      <c r="AK73" s="197">
        <v>0.28637836668884042</v>
      </c>
      <c r="AL73" s="191"/>
      <c r="AM73" s="195"/>
      <c r="AN73" s="191"/>
      <c r="AO73" s="191" t="s">
        <v>244</v>
      </c>
      <c r="AP73" s="193">
        <v>791.55387816580276</v>
      </c>
      <c r="AQ73" s="193">
        <v>731.82065712527879</v>
      </c>
      <c r="AR73" s="193">
        <v>264.36007699228543</v>
      </c>
      <c r="AS73" s="193">
        <v>307.94951249195026</v>
      </c>
      <c r="AT73" s="193">
        <v>159.51106764104307</v>
      </c>
      <c r="AU73" s="193">
        <v>61.828975203342559</v>
      </c>
      <c r="AV73" s="193">
        <v>0.10152540236429665</v>
      </c>
      <c r="AW73" s="193">
        <v>7.3384050313597281E-4</v>
      </c>
      <c r="AX73" s="193">
        <v>64.585794732384485</v>
      </c>
      <c r="AY73" s="193">
        <v>0.2050863379746394</v>
      </c>
      <c r="AZ73" s="193">
        <v>0.21743879234211722</v>
      </c>
      <c r="BA73" s="193">
        <v>9.3673015899303921E-2</v>
      </c>
      <c r="BB73" s="197">
        <v>9.1834484307306688E-2</v>
      </c>
      <c r="BC73" s="197">
        <v>3.613754824527883E-2</v>
      </c>
      <c r="BD73" s="197">
        <v>0.28637836668884042</v>
      </c>
    </row>
    <row r="74" spans="1:56">
      <c r="A74" s="195"/>
      <c r="B74" s="196" t="s">
        <v>2185</v>
      </c>
      <c r="C74" s="191" t="s">
        <v>23</v>
      </c>
      <c r="D74" s="192">
        <v>159.14647368995503</v>
      </c>
      <c r="E74" s="192">
        <v>153.35671304675176</v>
      </c>
      <c r="F74" s="192">
        <v>27.713535626486774</v>
      </c>
      <c r="G74" s="192">
        <v>81.90999282425858</v>
      </c>
      <c r="H74" s="192">
        <v>43.733184595713375</v>
      </c>
      <c r="I74" s="192">
        <v>11.405622289650989</v>
      </c>
      <c r="J74" s="193">
        <v>0.33022565029986545</v>
      </c>
      <c r="K74" s="193">
        <v>2.8414612345395478E-4</v>
      </c>
      <c r="L74" s="192">
        <v>19.745939091936904</v>
      </c>
      <c r="M74" s="193">
        <v>1.2862497212005249E-2</v>
      </c>
      <c r="N74" s="193">
        <v>3.197269356649711E-2</v>
      </c>
      <c r="O74" s="193">
        <v>9.9382151606024635E-2</v>
      </c>
      <c r="P74" s="193">
        <v>7.7156972030076173E-3</v>
      </c>
      <c r="Q74" s="193">
        <v>3.6204716020400004E-3</v>
      </c>
      <c r="R74" s="193">
        <v>3.5642667872317159E-2</v>
      </c>
      <c r="S74" s="193"/>
      <c r="T74" s="193"/>
      <c r="U74" s="191" t="s">
        <v>2185</v>
      </c>
      <c r="V74" s="191" t="s">
        <v>23</v>
      </c>
      <c r="W74" s="193">
        <v>206.61092209240852</v>
      </c>
      <c r="X74" s="193">
        <v>201.91935020102304</v>
      </c>
      <c r="Y74" s="193">
        <v>24.365499258352674</v>
      </c>
      <c r="Z74" s="193">
        <v>139.88156234623915</v>
      </c>
      <c r="AA74" s="193">
        <v>37.672288597148018</v>
      </c>
      <c r="AB74" s="193">
        <v>8.7811085573105601</v>
      </c>
      <c r="AC74" s="193">
        <v>0.29499997575613462</v>
      </c>
      <c r="AD74" s="193">
        <v>3.1602514332337259E-4</v>
      </c>
      <c r="AE74" s="193">
        <v>16.250283443924289</v>
      </c>
      <c r="AF74" s="193">
        <v>1.108378247071194E-2</v>
      </c>
      <c r="AG74" s="193">
        <v>1.9749946575061791E-2</v>
      </c>
      <c r="AH74" s="193">
        <v>6.9202342452247545E-2</v>
      </c>
      <c r="AI74" s="193">
        <v>6.449472711947824E-3</v>
      </c>
      <c r="AJ74" s="193">
        <v>3.0133503899015435E-3</v>
      </c>
      <c r="AK74" s="193">
        <v>2.42331556076863E-2</v>
      </c>
      <c r="AL74" s="191"/>
      <c r="AM74" s="195"/>
      <c r="AN74" s="191" t="s">
        <v>2185</v>
      </c>
      <c r="AO74" s="191" t="s">
        <v>23</v>
      </c>
      <c r="AP74" s="193">
        <v>206.61092209240852</v>
      </c>
      <c r="AQ74" s="193">
        <v>201.91935020102304</v>
      </c>
      <c r="AR74" s="193">
        <v>24.365499258352674</v>
      </c>
      <c r="AS74" s="193">
        <v>139.88156234623915</v>
      </c>
      <c r="AT74" s="193">
        <v>37.672288597148018</v>
      </c>
      <c r="AU74" s="193">
        <v>8.7811085573105601</v>
      </c>
      <c r="AV74" s="193">
        <v>0.29499997575613462</v>
      </c>
      <c r="AW74" s="193">
        <v>3.1602514332337259E-4</v>
      </c>
      <c r="AX74" s="193">
        <v>16.250283443924289</v>
      </c>
      <c r="AY74" s="193">
        <v>1.108378247071194E-2</v>
      </c>
      <c r="AZ74" s="193">
        <v>1.9749946575061791E-2</v>
      </c>
      <c r="BA74" s="193">
        <v>6.9202342452247545E-2</v>
      </c>
      <c r="BB74" s="193">
        <v>6.449472711947824E-3</v>
      </c>
      <c r="BC74" s="193">
        <v>3.0133503899015435E-3</v>
      </c>
      <c r="BD74" s="193">
        <v>2.42331556076863E-2</v>
      </c>
    </row>
    <row r="75" spans="1:56">
      <c r="A75" s="195"/>
      <c r="B75" s="196"/>
      <c r="C75" s="191" t="s">
        <v>24</v>
      </c>
      <c r="D75" s="192">
        <v>680.37682778007888</v>
      </c>
      <c r="E75" s="192">
        <v>598.83023531982224</v>
      </c>
      <c r="F75" s="192">
        <v>109.02542229713681</v>
      </c>
      <c r="G75" s="192">
        <v>187.56381230689414</v>
      </c>
      <c r="H75" s="192">
        <v>302.2410007153548</v>
      </c>
      <c r="I75" s="192">
        <v>45.929286833075473</v>
      </c>
      <c r="J75" s="193">
        <v>5.0773432375902081E-2</v>
      </c>
      <c r="K75" s="193">
        <v>3.0856942954651709E-3</v>
      </c>
      <c r="L75" s="192">
        <v>48.118159542521646</v>
      </c>
      <c r="M75" s="193">
        <v>8.5935201916217882E-2</v>
      </c>
      <c r="N75" s="193">
        <v>3.4257066141034791E-2</v>
      </c>
      <c r="O75" s="193">
        <v>9.5713450603619396E-2</v>
      </c>
      <c r="P75" s="193">
        <v>3.1632608922692554E-2</v>
      </c>
      <c r="Q75" s="193">
        <v>1.2203784642393535E-2</v>
      </c>
      <c r="R75" s="193">
        <v>7.0260925822487941E-2</v>
      </c>
      <c r="S75" s="193"/>
      <c r="T75" s="193"/>
      <c r="U75" s="191"/>
      <c r="V75" s="191" t="s">
        <v>24</v>
      </c>
      <c r="W75" s="193">
        <v>740.41021954072664</v>
      </c>
      <c r="X75" s="193">
        <v>552.58555530061551</v>
      </c>
      <c r="Y75" s="193">
        <v>99.386254957064182</v>
      </c>
      <c r="Z75" s="193">
        <v>183.21376499339078</v>
      </c>
      <c r="AA75" s="193">
        <v>269.9855353512956</v>
      </c>
      <c r="AB75" s="193">
        <v>42.29577461100186</v>
      </c>
      <c r="AC75" s="193">
        <v>4.7992825994511261E-2</v>
      </c>
      <c r="AD75" s="193">
        <v>6.0125600485549571E-3</v>
      </c>
      <c r="AE75" s="193">
        <v>45.28733815533402</v>
      </c>
      <c r="AF75" s="193">
        <v>7.7694389260087537E-2</v>
      </c>
      <c r="AG75" s="193">
        <v>2.9513567409770725E-2</v>
      </c>
      <c r="AH75" s="193">
        <v>7.3614757251185062E-2</v>
      </c>
      <c r="AI75" s="193">
        <v>2.6950260264745434E-2</v>
      </c>
      <c r="AJ75" s="193">
        <v>9.6893317879574933E-3</v>
      </c>
      <c r="AK75" s="193">
        <v>4.1745570585995366E-2</v>
      </c>
      <c r="AL75" s="191"/>
      <c r="AM75" s="195"/>
      <c r="AN75" s="191"/>
      <c r="AO75" s="191" t="s">
        <v>24</v>
      </c>
      <c r="AP75" s="193">
        <v>740.41021954072664</v>
      </c>
      <c r="AQ75" s="193">
        <v>552.58555530061551</v>
      </c>
      <c r="AR75" s="193">
        <v>99.386254957064182</v>
      </c>
      <c r="AS75" s="193">
        <v>183.21376499339078</v>
      </c>
      <c r="AT75" s="193">
        <v>269.9855353512956</v>
      </c>
      <c r="AU75" s="193">
        <v>42.29577461100186</v>
      </c>
      <c r="AV75" s="193">
        <v>4.7992825994511261E-2</v>
      </c>
      <c r="AW75" s="193">
        <v>6.0125600485549571E-3</v>
      </c>
      <c r="AX75" s="193">
        <v>45.28733815533402</v>
      </c>
      <c r="AY75" s="193">
        <v>7.7694389260087537E-2</v>
      </c>
      <c r="AZ75" s="193">
        <v>2.9513567409770725E-2</v>
      </c>
      <c r="BA75" s="193">
        <v>7.3614757251185062E-2</v>
      </c>
      <c r="BB75" s="193">
        <v>2.6950260264745434E-2</v>
      </c>
      <c r="BC75" s="193">
        <v>9.6893317879574933E-3</v>
      </c>
      <c r="BD75" s="193">
        <v>4.1745570585995366E-2</v>
      </c>
    </row>
    <row r="76" spans="1:56">
      <c r="A76" s="195"/>
      <c r="B76" s="196"/>
      <c r="C76" s="191" t="s">
        <v>243</v>
      </c>
      <c r="D76" s="192">
        <v>3604.1988367708345</v>
      </c>
      <c r="E76" s="192">
        <v>3551.894535198313</v>
      </c>
      <c r="F76" s="192">
        <v>0</v>
      </c>
      <c r="G76" s="192">
        <v>0</v>
      </c>
      <c r="H76" s="192">
        <v>3551.894535198313</v>
      </c>
      <c r="I76" s="192">
        <v>276.81485869084298</v>
      </c>
      <c r="J76" s="193">
        <v>1.0387E-2</v>
      </c>
      <c r="K76" s="193">
        <v>1.2E-2</v>
      </c>
      <c r="L76" s="192">
        <v>280.65053369084296</v>
      </c>
      <c r="M76" s="193">
        <v>0.15615999999999999</v>
      </c>
      <c r="N76" s="193">
        <v>5.21</v>
      </c>
      <c r="O76" s="193">
        <v>0.252</v>
      </c>
      <c r="P76" s="193">
        <v>2.93E-2</v>
      </c>
      <c r="Q76" s="193">
        <v>1.54E-2</v>
      </c>
      <c r="R76" s="193">
        <v>4.5031846044521961E-3</v>
      </c>
      <c r="S76" s="193"/>
      <c r="T76" s="193"/>
      <c r="U76" s="191"/>
      <c r="V76" s="191" t="s">
        <v>243</v>
      </c>
      <c r="W76" s="193">
        <v>3127.1060821947681</v>
      </c>
      <c r="X76" s="193">
        <v>2995.600756694535</v>
      </c>
      <c r="Y76" s="193">
        <v>0</v>
      </c>
      <c r="Z76" s="193">
        <v>0</v>
      </c>
      <c r="AA76" s="193">
        <v>2995.600756694535</v>
      </c>
      <c r="AB76" s="193">
        <v>240.01924809464057</v>
      </c>
      <c r="AC76" s="193">
        <v>4.7939999999999997E-3</v>
      </c>
      <c r="AD76" s="193">
        <v>1.2E-2</v>
      </c>
      <c r="AE76" s="193">
        <v>243.71509809464058</v>
      </c>
      <c r="AF76" s="193">
        <v>0.10722000000000001</v>
      </c>
      <c r="AG76" s="193">
        <v>3.46</v>
      </c>
      <c r="AH76" s="193">
        <v>5.7960000000000005E-2</v>
      </c>
      <c r="AI76" s="193">
        <v>2.86E-2</v>
      </c>
      <c r="AJ76" s="193">
        <v>1.4800000000000001E-2</v>
      </c>
      <c r="AK76" s="193">
        <v>3.972375140397633E-3</v>
      </c>
      <c r="AL76" s="191"/>
      <c r="AM76" s="195"/>
      <c r="AN76" s="191"/>
      <c r="AO76" s="191" t="s">
        <v>243</v>
      </c>
      <c r="AP76" s="193">
        <v>3127.1060821947681</v>
      </c>
      <c r="AQ76" s="193">
        <v>2995.600756694535</v>
      </c>
      <c r="AR76" s="193">
        <v>0</v>
      </c>
      <c r="AS76" s="193">
        <v>0</v>
      </c>
      <c r="AT76" s="193">
        <v>2995.600756694535</v>
      </c>
      <c r="AU76" s="193">
        <v>240.01924809464057</v>
      </c>
      <c r="AV76" s="193">
        <v>4.7939999999999997E-3</v>
      </c>
      <c r="AW76" s="193">
        <v>1.2E-2</v>
      </c>
      <c r="AX76" s="193">
        <v>243.71509809464058</v>
      </c>
      <c r="AY76" s="193">
        <v>0.10722000000000001</v>
      </c>
      <c r="AZ76" s="193">
        <v>3.46</v>
      </c>
      <c r="BA76" s="193">
        <v>5.7960000000000005E-2</v>
      </c>
      <c r="BB76" s="193">
        <v>2.86E-2</v>
      </c>
      <c r="BC76" s="193">
        <v>1.4800000000000001E-2</v>
      </c>
      <c r="BD76" s="193">
        <v>3.972375140397633E-3</v>
      </c>
    </row>
    <row r="77" spans="1:56">
      <c r="A77" s="195"/>
      <c r="B77" s="196"/>
      <c r="C77" s="191" t="s">
        <v>244</v>
      </c>
      <c r="D77" s="192">
        <v>644.71951322465952</v>
      </c>
      <c r="E77" s="192">
        <v>600.03255403112132</v>
      </c>
      <c r="F77" s="192">
        <v>235.21487792895351</v>
      </c>
      <c r="G77" s="192">
        <v>243.29859539360234</v>
      </c>
      <c r="H77" s="192">
        <v>121.51908070856545</v>
      </c>
      <c r="I77" s="192">
        <v>49.731168827876893</v>
      </c>
      <c r="J77" s="193">
        <v>8.2916211840667359E-2</v>
      </c>
      <c r="K77" s="193">
        <v>5.9094461549456291E-4</v>
      </c>
      <c r="L77" s="192">
        <v>51.980175619310948</v>
      </c>
      <c r="M77" s="193">
        <v>0.20565915308325231</v>
      </c>
      <c r="N77" s="193">
        <v>0.2255893409388596</v>
      </c>
      <c r="O77" s="193">
        <v>7.7114258603682331E-2</v>
      </c>
      <c r="P77" s="193">
        <v>7.9979638822965549E-2</v>
      </c>
      <c r="Q77" s="193">
        <v>3.1078577280860383E-2</v>
      </c>
      <c r="R77" s="193">
        <v>0.22838496762374849</v>
      </c>
      <c r="S77" s="193"/>
      <c r="T77" s="193"/>
      <c r="U77" s="191"/>
      <c r="V77" s="191" t="s">
        <v>244</v>
      </c>
      <c r="W77" s="193">
        <v>644.71951322465952</v>
      </c>
      <c r="X77" s="193">
        <v>600.03255403112132</v>
      </c>
      <c r="Y77" s="193">
        <v>235.21487792895351</v>
      </c>
      <c r="Z77" s="193">
        <v>243.29859539360234</v>
      </c>
      <c r="AA77" s="193">
        <v>121.51908070856545</v>
      </c>
      <c r="AB77" s="193">
        <v>49.731168827876893</v>
      </c>
      <c r="AC77" s="193">
        <v>8.2916211840667359E-2</v>
      </c>
      <c r="AD77" s="193">
        <v>5.9094461549456291E-4</v>
      </c>
      <c r="AE77" s="193">
        <v>51.980175619310948</v>
      </c>
      <c r="AF77" s="193">
        <v>0.20565915308325231</v>
      </c>
      <c r="AG77" s="193">
        <v>0.2255893409388596</v>
      </c>
      <c r="AH77" s="193">
        <v>7.7114258603682331E-2</v>
      </c>
      <c r="AI77" s="193">
        <v>7.9979638822965549E-2</v>
      </c>
      <c r="AJ77" s="193">
        <v>3.1078577280860383E-2</v>
      </c>
      <c r="AK77" s="193">
        <v>0.22838496762374849</v>
      </c>
      <c r="AL77" s="191"/>
      <c r="AM77" s="195"/>
      <c r="AN77" s="191"/>
      <c r="AO77" s="191" t="s">
        <v>244</v>
      </c>
      <c r="AP77" s="193">
        <v>644.71951322465952</v>
      </c>
      <c r="AQ77" s="193">
        <v>600.03255403112132</v>
      </c>
      <c r="AR77" s="193">
        <v>235.21487792895351</v>
      </c>
      <c r="AS77" s="193">
        <v>243.29859539360234</v>
      </c>
      <c r="AT77" s="193">
        <v>121.51908070856545</v>
      </c>
      <c r="AU77" s="193">
        <v>49.731168827876893</v>
      </c>
      <c r="AV77" s="193">
        <v>8.2916211840667359E-2</v>
      </c>
      <c r="AW77" s="193">
        <v>5.9094461549456291E-4</v>
      </c>
      <c r="AX77" s="193">
        <v>51.980175619310948</v>
      </c>
      <c r="AY77" s="193">
        <v>0.20565915308325231</v>
      </c>
      <c r="AZ77" s="193">
        <v>0.2255893409388596</v>
      </c>
      <c r="BA77" s="193">
        <v>7.7114258603682331E-2</v>
      </c>
      <c r="BB77" s="193">
        <v>7.9979638822965549E-2</v>
      </c>
      <c r="BC77" s="193">
        <v>3.1078577280860383E-2</v>
      </c>
      <c r="BD77" s="193">
        <v>0.22838496762374849</v>
      </c>
    </row>
    <row r="78" spans="1:56">
      <c r="A78" s="195"/>
      <c r="B78" s="196" t="s">
        <v>2186</v>
      </c>
      <c r="C78" s="191" t="s">
        <v>23</v>
      </c>
      <c r="D78" s="192">
        <v>158.96101582022817</v>
      </c>
      <c r="E78" s="192">
        <v>153.29031007642104</v>
      </c>
      <c r="F78" s="192">
        <v>28.248442723778219</v>
      </c>
      <c r="G78" s="192">
        <v>77.154240287762534</v>
      </c>
      <c r="H78" s="192">
        <v>47.887627061491983</v>
      </c>
      <c r="I78" s="192">
        <v>11.675790988678997</v>
      </c>
      <c r="J78" s="193">
        <v>0.38861613285366003</v>
      </c>
      <c r="K78" s="193">
        <v>2.8430709450660103E-4</v>
      </c>
      <c r="L78" s="192">
        <v>21.475917824183469</v>
      </c>
      <c r="M78" s="193">
        <v>1.8081251745991695E-2</v>
      </c>
      <c r="N78" s="193">
        <v>2.8674532951461759E-2</v>
      </c>
      <c r="O78" s="193">
        <v>9.3994126206107559E-2</v>
      </c>
      <c r="P78" s="193">
        <v>0.17128082743672063</v>
      </c>
      <c r="Q78" s="193">
        <v>4.4071569392269139E-2</v>
      </c>
      <c r="R78" s="193">
        <v>3.8071233688210464E-2</v>
      </c>
      <c r="S78" s="193"/>
      <c r="T78" s="193"/>
      <c r="U78" s="191" t="s">
        <v>2186</v>
      </c>
      <c r="V78" s="191" t="s">
        <v>23</v>
      </c>
      <c r="W78" s="193">
        <v>187.05559255252828</v>
      </c>
      <c r="X78" s="193">
        <v>182.98501604553789</v>
      </c>
      <c r="Y78" s="193">
        <v>22.09052848082214</v>
      </c>
      <c r="Z78" s="193">
        <v>120.05969310027058</v>
      </c>
      <c r="AA78" s="193">
        <v>40.834794471320528</v>
      </c>
      <c r="AB78" s="193">
        <v>9.5401167787059755</v>
      </c>
      <c r="AC78" s="193">
        <v>0.35381024666569538</v>
      </c>
      <c r="AD78" s="193">
        <v>3.0088074532179279E-4</v>
      </c>
      <c r="AE78" s="193">
        <v>18.475035407454254</v>
      </c>
      <c r="AF78" s="193">
        <v>1.5618041293208838E-2</v>
      </c>
      <c r="AG78" s="193">
        <v>1.8080947372737802E-2</v>
      </c>
      <c r="AH78" s="193">
        <v>6.3063925126790182E-2</v>
      </c>
      <c r="AI78" s="193">
        <v>0.13987449082300477</v>
      </c>
      <c r="AJ78" s="193">
        <v>3.583720211866024E-2</v>
      </c>
      <c r="AK78" s="193">
        <v>2.6672870329916824E-2</v>
      </c>
      <c r="AL78" s="191"/>
      <c r="AM78" s="195"/>
      <c r="AN78" s="191" t="s">
        <v>2186</v>
      </c>
      <c r="AO78" s="191" t="s">
        <v>23</v>
      </c>
      <c r="AP78" s="193">
        <v>187.05559255252828</v>
      </c>
      <c r="AQ78" s="193">
        <v>182.98501604553789</v>
      </c>
      <c r="AR78" s="193">
        <v>22.09052848082214</v>
      </c>
      <c r="AS78" s="193">
        <v>120.05969310027058</v>
      </c>
      <c r="AT78" s="193">
        <v>40.834794471320528</v>
      </c>
      <c r="AU78" s="193">
        <v>9.5401167787059755</v>
      </c>
      <c r="AV78" s="193">
        <v>0.35381024666569538</v>
      </c>
      <c r="AW78" s="193">
        <v>3.0088074532179279E-4</v>
      </c>
      <c r="AX78" s="193">
        <v>18.475035407454254</v>
      </c>
      <c r="AY78" s="193">
        <v>1.5618041293208838E-2</v>
      </c>
      <c r="AZ78" s="193">
        <v>1.8080947372737802E-2</v>
      </c>
      <c r="BA78" s="193">
        <v>6.3063925126790182E-2</v>
      </c>
      <c r="BB78" s="193">
        <v>0.13987449082300477</v>
      </c>
      <c r="BC78" s="193">
        <v>3.583720211866024E-2</v>
      </c>
      <c r="BD78" s="193">
        <v>2.6672870329916824E-2</v>
      </c>
    </row>
    <row r="79" spans="1:56">
      <c r="A79" s="195"/>
      <c r="B79" s="196"/>
      <c r="C79" s="191" t="s">
        <v>24</v>
      </c>
      <c r="D79" s="192">
        <v>1358.0658570173664</v>
      </c>
      <c r="E79" s="192">
        <v>1176.728499915532</v>
      </c>
      <c r="F79" s="192">
        <v>669.97375338460768</v>
      </c>
      <c r="G79" s="192">
        <v>277.63892588268595</v>
      </c>
      <c r="H79" s="192">
        <v>229.11582065195972</v>
      </c>
      <c r="I79" s="192">
        <v>156.01621477504725</v>
      </c>
      <c r="J79" s="193">
        <v>3.6212809749141393E-2</v>
      </c>
      <c r="K79" s="193">
        <v>3.7396116138846622E-3</v>
      </c>
      <c r="L79" s="192">
        <v>158.0359392797134</v>
      </c>
      <c r="M79" s="193">
        <v>5.9919147573684717E-2</v>
      </c>
      <c r="N79" s="193">
        <v>4.6410538629695311E-2</v>
      </c>
      <c r="O79" s="193">
        <v>0.238892538471146</v>
      </c>
      <c r="P79" s="193">
        <v>3.1303909866491793E-2</v>
      </c>
      <c r="Q79" s="193">
        <v>1.3497859898025719E-2</v>
      </c>
      <c r="R79" s="193">
        <v>0.48040475669269705</v>
      </c>
      <c r="S79" s="193"/>
      <c r="T79" s="193"/>
      <c r="U79" s="191"/>
      <c r="V79" s="191" t="s">
        <v>24</v>
      </c>
      <c r="W79" s="193">
        <v>1289.4046151159926</v>
      </c>
      <c r="X79" s="193">
        <v>1067.9072517861371</v>
      </c>
      <c r="Y79" s="193">
        <v>555.06473311024138</v>
      </c>
      <c r="Z79" s="193">
        <v>311.73227367089379</v>
      </c>
      <c r="AA79" s="193">
        <v>201.11024499695543</v>
      </c>
      <c r="AB79" s="193">
        <v>137.42098401967866</v>
      </c>
      <c r="AC79" s="193">
        <v>3.4505369520286426E-2</v>
      </c>
      <c r="AD79" s="193">
        <v>5.6834120852484495E-3</v>
      </c>
      <c r="AE79" s="193">
        <v>139.97727505908983</v>
      </c>
      <c r="AF79" s="193">
        <v>5.3951306986341929E-2</v>
      </c>
      <c r="AG79" s="193">
        <v>4.6230804656156185E-2</v>
      </c>
      <c r="AH79" s="193">
        <v>0.13887423142150901</v>
      </c>
      <c r="AI79" s="193">
        <v>2.4944210699214854E-2</v>
      </c>
      <c r="AJ79" s="193">
        <v>1.027564191155766E-2</v>
      </c>
      <c r="AK79" s="193">
        <v>0.23200244396363462</v>
      </c>
      <c r="AL79" s="191"/>
      <c r="AM79" s="195"/>
      <c r="AN79" s="191"/>
      <c r="AO79" s="191" t="s">
        <v>24</v>
      </c>
      <c r="AP79" s="193">
        <v>1289.4046151159926</v>
      </c>
      <c r="AQ79" s="193">
        <v>1067.9072517861371</v>
      </c>
      <c r="AR79" s="193">
        <v>555.06473311024138</v>
      </c>
      <c r="AS79" s="193">
        <v>311.73227367089379</v>
      </c>
      <c r="AT79" s="193">
        <v>201.11024499695543</v>
      </c>
      <c r="AU79" s="193">
        <v>137.42098401967866</v>
      </c>
      <c r="AV79" s="193">
        <v>3.4505369520286426E-2</v>
      </c>
      <c r="AW79" s="193">
        <v>5.6834120852484495E-3</v>
      </c>
      <c r="AX79" s="193">
        <v>139.97727505908983</v>
      </c>
      <c r="AY79" s="193">
        <v>5.3951306986341929E-2</v>
      </c>
      <c r="AZ79" s="193">
        <v>4.6230804656156185E-2</v>
      </c>
      <c r="BA79" s="193">
        <v>0.13887423142150901</v>
      </c>
      <c r="BB79" s="193">
        <v>2.4944210699214854E-2</v>
      </c>
      <c r="BC79" s="193">
        <v>1.027564191155766E-2</v>
      </c>
      <c r="BD79" s="193">
        <v>0.23200244396363462</v>
      </c>
    </row>
    <row r="80" spans="1:56">
      <c r="A80" s="195"/>
      <c r="B80" s="196"/>
      <c r="C80" s="191" t="s">
        <v>243</v>
      </c>
      <c r="D80" s="192">
        <v>3001.5767912627507</v>
      </c>
      <c r="E80" s="192">
        <v>2887.5479063797411</v>
      </c>
      <c r="F80" s="192">
        <v>372.88391266334384</v>
      </c>
      <c r="G80" s="192">
        <v>107.10956941024733</v>
      </c>
      <c r="H80" s="192">
        <v>2407.554424305396</v>
      </c>
      <c r="I80" s="192">
        <v>185.46595532286477</v>
      </c>
      <c r="J80" s="193">
        <v>6.9592899999999999E-3</v>
      </c>
      <c r="K80" s="193">
        <v>8.0399999999999985E-3</v>
      </c>
      <c r="L80" s="192">
        <v>188.03585757286476</v>
      </c>
      <c r="M80" s="193">
        <v>0.10462719999999999</v>
      </c>
      <c r="N80" s="193">
        <v>3.4906999999999995</v>
      </c>
      <c r="O80" s="193">
        <v>0.16883999999999999</v>
      </c>
      <c r="P80" s="193">
        <v>2.6395999999999999E-2</v>
      </c>
      <c r="Q80" s="193">
        <v>1.2726999999999999E-2</v>
      </c>
      <c r="R80" s="193">
        <v>3.0171336849829709E-3</v>
      </c>
      <c r="S80" s="193"/>
      <c r="T80" s="193"/>
      <c r="U80" s="191"/>
      <c r="V80" s="191" t="s">
        <v>243</v>
      </c>
      <c r="W80" s="193">
        <v>2618.0132120134599</v>
      </c>
      <c r="X80" s="193">
        <v>2469.9274779407488</v>
      </c>
      <c r="Y80" s="193">
        <v>306.92251910099435</v>
      </c>
      <c r="Z80" s="193">
        <v>133.71188229308473</v>
      </c>
      <c r="AA80" s="193">
        <v>2029.2930765491592</v>
      </c>
      <c r="AB80" s="193">
        <v>160.81289622340915</v>
      </c>
      <c r="AC80" s="193">
        <v>3.2119799999999993E-3</v>
      </c>
      <c r="AD80" s="193">
        <v>8.0399999999999985E-3</v>
      </c>
      <c r="AE80" s="193">
        <v>163.28911572340917</v>
      </c>
      <c r="AF80" s="193">
        <v>7.1837399999999996E-2</v>
      </c>
      <c r="AG80" s="193">
        <v>2.3181999999999996</v>
      </c>
      <c r="AH80" s="193">
        <v>3.8833199999999998E-2</v>
      </c>
      <c r="AI80" s="193">
        <v>2.5926999999999999E-2</v>
      </c>
      <c r="AJ80" s="193">
        <v>1.2324999999999999E-2</v>
      </c>
      <c r="AK80" s="193">
        <v>2.661491344066414E-3</v>
      </c>
      <c r="AL80" s="191"/>
      <c r="AM80" s="195"/>
      <c r="AN80" s="191"/>
      <c r="AO80" s="191" t="s">
        <v>243</v>
      </c>
      <c r="AP80" s="193">
        <v>2618.0132120134599</v>
      </c>
      <c r="AQ80" s="193">
        <v>2469.9274779407488</v>
      </c>
      <c r="AR80" s="193">
        <v>306.92251910099435</v>
      </c>
      <c r="AS80" s="193">
        <v>133.71188229308473</v>
      </c>
      <c r="AT80" s="193">
        <v>2029.2930765491592</v>
      </c>
      <c r="AU80" s="193">
        <v>160.81289622340915</v>
      </c>
      <c r="AV80" s="193">
        <v>3.2119799999999993E-3</v>
      </c>
      <c r="AW80" s="193">
        <v>8.0399999999999985E-3</v>
      </c>
      <c r="AX80" s="193">
        <v>163.28911572340917</v>
      </c>
      <c r="AY80" s="193">
        <v>7.1837399999999996E-2</v>
      </c>
      <c r="AZ80" s="193">
        <v>2.3181999999999996</v>
      </c>
      <c r="BA80" s="193">
        <v>3.8833199999999998E-2</v>
      </c>
      <c r="BB80" s="193">
        <v>2.5926999999999999E-2</v>
      </c>
      <c r="BC80" s="193">
        <v>1.2324999999999999E-2</v>
      </c>
      <c r="BD80" s="193">
        <v>2.661491344066414E-3</v>
      </c>
    </row>
    <row r="81" spans="1:56">
      <c r="A81" s="195"/>
      <c r="B81" s="196"/>
      <c r="C81" s="191" t="s">
        <v>244</v>
      </c>
      <c r="D81" s="192">
        <v>644.71951322465952</v>
      </c>
      <c r="E81" s="192">
        <v>600.03255403112132</v>
      </c>
      <c r="F81" s="192">
        <v>235.21487792895351</v>
      </c>
      <c r="G81" s="192">
        <v>243.29859539360234</v>
      </c>
      <c r="H81" s="192">
        <v>121.51908070856545</v>
      </c>
      <c r="I81" s="192">
        <v>49.731168827876893</v>
      </c>
      <c r="J81" s="193">
        <v>8.2916211840667359E-2</v>
      </c>
      <c r="K81" s="193">
        <v>5.9094461549456291E-4</v>
      </c>
      <c r="L81" s="192">
        <v>51.980175619310948</v>
      </c>
      <c r="M81" s="193">
        <v>0.20565915308325231</v>
      </c>
      <c r="N81" s="193">
        <v>0.2255893409388596</v>
      </c>
      <c r="O81" s="193">
        <v>7.7114258603682331E-2</v>
      </c>
      <c r="P81" s="193">
        <v>7.9979638822965549E-2</v>
      </c>
      <c r="Q81" s="193">
        <v>3.1078577280860383E-2</v>
      </c>
      <c r="R81" s="193">
        <v>0.22838496762374849</v>
      </c>
      <c r="S81" s="193"/>
      <c r="T81" s="193"/>
      <c r="U81" s="191"/>
      <c r="V81" s="191" t="s">
        <v>244</v>
      </c>
      <c r="W81" s="193">
        <v>644.71951322465952</v>
      </c>
      <c r="X81" s="193">
        <v>600.03255403112132</v>
      </c>
      <c r="Y81" s="193">
        <v>235.21487792895351</v>
      </c>
      <c r="Z81" s="193">
        <v>243.29859539360234</v>
      </c>
      <c r="AA81" s="193">
        <v>121.51908070856545</v>
      </c>
      <c r="AB81" s="193">
        <v>49.731168827876893</v>
      </c>
      <c r="AC81" s="193">
        <v>8.2916211840667359E-2</v>
      </c>
      <c r="AD81" s="193">
        <v>5.9094461549456291E-4</v>
      </c>
      <c r="AE81" s="193">
        <v>51.980175619310948</v>
      </c>
      <c r="AF81" s="193">
        <v>0.20565915308325231</v>
      </c>
      <c r="AG81" s="193">
        <v>0.2255893409388596</v>
      </c>
      <c r="AH81" s="193">
        <v>7.7114258603682331E-2</v>
      </c>
      <c r="AI81" s="193">
        <v>7.9979638822965549E-2</v>
      </c>
      <c r="AJ81" s="193">
        <v>3.1078577280860383E-2</v>
      </c>
      <c r="AK81" s="193">
        <v>0.22838496762374849</v>
      </c>
      <c r="AL81" s="191"/>
      <c r="AM81" s="195"/>
      <c r="AN81" s="191"/>
      <c r="AO81" s="191" t="s">
        <v>244</v>
      </c>
      <c r="AP81" s="193">
        <v>644.71951322465952</v>
      </c>
      <c r="AQ81" s="193">
        <v>600.03255403112132</v>
      </c>
      <c r="AR81" s="193">
        <v>235.21487792895351</v>
      </c>
      <c r="AS81" s="193">
        <v>243.29859539360234</v>
      </c>
      <c r="AT81" s="193">
        <v>121.51908070856545</v>
      </c>
      <c r="AU81" s="193">
        <v>49.731168827876893</v>
      </c>
      <c r="AV81" s="193">
        <v>8.2916211840667359E-2</v>
      </c>
      <c r="AW81" s="193">
        <v>5.9094461549456291E-4</v>
      </c>
      <c r="AX81" s="193">
        <v>51.980175619310948</v>
      </c>
      <c r="AY81" s="193">
        <v>0.20565915308325231</v>
      </c>
      <c r="AZ81" s="193">
        <v>0.2255893409388596</v>
      </c>
      <c r="BA81" s="193">
        <v>7.7114258603682331E-2</v>
      </c>
      <c r="BB81" s="193">
        <v>7.9979638822965549E-2</v>
      </c>
      <c r="BC81" s="193">
        <v>3.1078577280860383E-2</v>
      </c>
      <c r="BD81" s="193">
        <v>0.22838496762374849</v>
      </c>
    </row>
    <row r="82" spans="1:56">
      <c r="A82" s="195"/>
      <c r="B82" s="196" t="s">
        <v>2187</v>
      </c>
      <c r="C82" s="191" t="s">
        <v>23</v>
      </c>
      <c r="D82" s="192">
        <v>193.37774282452497</v>
      </c>
      <c r="E82" s="192">
        <v>186.34264604407025</v>
      </c>
      <c r="F82" s="192">
        <v>33.674519082198984</v>
      </c>
      <c r="G82" s="192">
        <v>99.528246902827334</v>
      </c>
      <c r="H82" s="192">
        <v>53.139880058687879</v>
      </c>
      <c r="I82" s="192">
        <v>18.620722887471661</v>
      </c>
      <c r="J82" s="193">
        <v>0.4012548276888368</v>
      </c>
      <c r="K82" s="193">
        <v>3.4526392393030282E-4</v>
      </c>
      <c r="L82" s="192">
        <v>28.75498222902381</v>
      </c>
      <c r="M82" s="193">
        <v>1.5629128439189E-2</v>
      </c>
      <c r="N82" s="193">
        <v>3.8849791456608732E-2</v>
      </c>
      <c r="O82" s="193">
        <v>0.12075854217202678</v>
      </c>
      <c r="P82" s="193">
        <v>9.3752885303753225E-3</v>
      </c>
      <c r="Q82" s="193">
        <v>4.3992091695775788E-3</v>
      </c>
      <c r="R82" s="193">
        <v>4.3308733701977055E-2</v>
      </c>
      <c r="S82" s="193"/>
      <c r="T82" s="193"/>
      <c r="U82" s="191" t="s">
        <v>2187</v>
      </c>
      <c r="V82" s="191" t="s">
        <v>23</v>
      </c>
      <c r="W82" s="193">
        <v>261.51131056108653</v>
      </c>
      <c r="X82" s="193">
        <v>255.5731002211752</v>
      </c>
      <c r="Y82" s="193">
        <v>30.839868381581127</v>
      </c>
      <c r="Z82" s="193">
        <v>177.05071117264728</v>
      </c>
      <c r="AA82" s="193">
        <v>47.682520667854071</v>
      </c>
      <c r="AB82" s="193">
        <v>23.585600850044532</v>
      </c>
      <c r="AC82" s="193">
        <v>0.37338698987544999</v>
      </c>
      <c r="AD82" s="193">
        <v>3.9999893792539717E-4</v>
      </c>
      <c r="AE82" s="193">
        <v>33.039475280432555</v>
      </c>
      <c r="AF82" s="193">
        <v>1.4028950892506463E-2</v>
      </c>
      <c r="AG82" s="193">
        <v>2.4997876975960814E-2</v>
      </c>
      <c r="AH82" s="193">
        <v>8.7590699878345488E-2</v>
      </c>
      <c r="AI82" s="193">
        <v>8.1632183054441334E-3</v>
      </c>
      <c r="AJ82" s="193">
        <v>3.8140539796364817E-3</v>
      </c>
      <c r="AK82" s="193">
        <v>3.0672358546283741E-2</v>
      </c>
      <c r="AL82" s="191"/>
      <c r="AM82" s="195"/>
      <c r="AN82" s="191" t="s">
        <v>2187</v>
      </c>
      <c r="AO82" s="191" t="s">
        <v>23</v>
      </c>
      <c r="AP82" s="193">
        <v>214.28983962548457</v>
      </c>
      <c r="AQ82" s="193">
        <v>209.42390040980865</v>
      </c>
      <c r="AR82" s="193">
        <v>25.271069290964189</v>
      </c>
      <c r="AS82" s="193">
        <v>145.08041132661495</v>
      </c>
      <c r="AT82" s="193">
        <v>39.072419792972987</v>
      </c>
      <c r="AU82" s="193">
        <v>19.326715210836486</v>
      </c>
      <c r="AV82" s="193">
        <v>0.30596396770365442</v>
      </c>
      <c r="AW82" s="193">
        <v>3.2777055827715396E-4</v>
      </c>
      <c r="AX82" s="193">
        <v>27.073490029794442</v>
      </c>
      <c r="AY82" s="193">
        <v>1.1495723188488152E-2</v>
      </c>
      <c r="AZ82" s="193">
        <v>2.0483974619158744E-2</v>
      </c>
      <c r="BA82" s="193">
        <v>7.1774322071741378E-2</v>
      </c>
      <c r="BB82" s="193">
        <v>6.689174314289649E-3</v>
      </c>
      <c r="BC82" s="193">
        <v>3.1253448038849794E-3</v>
      </c>
      <c r="BD82" s="193">
        <v>2.5133806945926214E-2</v>
      </c>
    </row>
    <row r="83" spans="1:56">
      <c r="A83" s="195"/>
      <c r="B83" s="196"/>
      <c r="C83" s="191" t="s">
        <v>24</v>
      </c>
      <c r="D83" s="192">
        <v>612.87978433612261</v>
      </c>
      <c r="E83" s="192">
        <v>604.61280683019004</v>
      </c>
      <c r="F83" s="192">
        <v>107.72589097779209</v>
      </c>
      <c r="G83" s="192">
        <v>188.32053977367872</v>
      </c>
      <c r="H83" s="192">
        <v>308.56637607831362</v>
      </c>
      <c r="I83" s="192">
        <v>46.126865694582399</v>
      </c>
      <c r="J83" s="193">
        <v>5.0813112325597244E-2</v>
      </c>
      <c r="K83" s="193">
        <v>7.1087173181350223E-4</v>
      </c>
      <c r="L83" s="192">
        <v>47.609033278802755</v>
      </c>
      <c r="M83" s="193">
        <v>1.8841643261225758E-2</v>
      </c>
      <c r="N83" s="193">
        <v>3.1616876838920782E-2</v>
      </c>
      <c r="O83" s="193">
        <v>9.1701852461420971E-2</v>
      </c>
      <c r="P83" s="193">
        <v>3.0758932009879537E-2</v>
      </c>
      <c r="Q83" s="193">
        <v>1.1942438393155522E-2</v>
      </c>
      <c r="R83" s="193">
        <v>7.1200640478967972E-2</v>
      </c>
      <c r="S83" s="193"/>
      <c r="T83" s="193"/>
      <c r="U83" s="191"/>
      <c r="V83" s="191" t="s">
        <v>24</v>
      </c>
      <c r="W83" s="193">
        <v>559.78776265878253</v>
      </c>
      <c r="X83" s="193">
        <v>553.41988259870914</v>
      </c>
      <c r="Y83" s="193">
        <v>94.704318015899105</v>
      </c>
      <c r="Z83" s="193">
        <v>180.01625932109579</v>
      </c>
      <c r="AA83" s="193">
        <v>278.69930526259577</v>
      </c>
      <c r="AB83" s="193">
        <v>41.669360383516171</v>
      </c>
      <c r="AC83" s="193">
        <v>4.6310205707902397E-2</v>
      </c>
      <c r="AD83" s="193">
        <v>6.4997769151353799E-4</v>
      </c>
      <c r="AE83" s="193">
        <v>43.020808878284768</v>
      </c>
      <c r="AF83" s="193">
        <v>1.6779819164159875E-2</v>
      </c>
      <c r="AG83" s="193">
        <v>2.3921460272104109E-2</v>
      </c>
      <c r="AH83" s="193">
        <v>6.2653941711260902E-2</v>
      </c>
      <c r="AI83" s="193">
        <v>2.4279595448475143E-2</v>
      </c>
      <c r="AJ83" s="193">
        <v>9.022293457444425E-3</v>
      </c>
      <c r="AK83" s="193">
        <v>4.1026994019398591E-2</v>
      </c>
      <c r="AL83" s="191"/>
      <c r="AM83" s="195"/>
      <c r="AN83" s="191"/>
      <c r="AO83" s="191" t="s">
        <v>24</v>
      </c>
      <c r="AP83" s="193">
        <v>458.7060866586823</v>
      </c>
      <c r="AQ83" s="193">
        <v>453.48806379802784</v>
      </c>
      <c r="AR83" s="193">
        <v>77.60342401988531</v>
      </c>
      <c r="AS83" s="193">
        <v>147.51046620940076</v>
      </c>
      <c r="AT83" s="193">
        <v>228.37417356946415</v>
      </c>
      <c r="AU83" s="193">
        <v>34.145064451406959</v>
      </c>
      <c r="AV83" s="193">
        <v>3.7947905705789729E-2</v>
      </c>
      <c r="AW83" s="193">
        <v>5.3261029121737908E-4</v>
      </c>
      <c r="AX83" s="193">
        <v>35.252479960834485</v>
      </c>
      <c r="AY83" s="193">
        <v>1.3749863246517289E-2</v>
      </c>
      <c r="AZ83" s="193">
        <v>1.960192801725559E-2</v>
      </c>
      <c r="BA83" s="193">
        <v>5.1340429950827493E-2</v>
      </c>
      <c r="BB83" s="193">
        <v>1.9895394213207629E-2</v>
      </c>
      <c r="BC83" s="193">
        <v>7.3931250388430307E-3</v>
      </c>
      <c r="BD83" s="193">
        <v>3.3618691099324326E-2</v>
      </c>
    </row>
    <row r="84" spans="1:56">
      <c r="A84" s="195"/>
      <c r="B84" s="196"/>
      <c r="C84" s="191" t="s">
        <v>243</v>
      </c>
      <c r="D84" s="192">
        <v>4382.7742960637161</v>
      </c>
      <c r="E84" s="192">
        <v>4382.7742960637161</v>
      </c>
      <c r="F84" s="192">
        <v>0</v>
      </c>
      <c r="G84" s="192">
        <v>0</v>
      </c>
      <c r="H84" s="192">
        <v>4382.7742960637161</v>
      </c>
      <c r="I84" s="192">
        <v>346.54867069706444</v>
      </c>
      <c r="J84" s="193">
        <v>2.5999999999999999E-3</v>
      </c>
      <c r="K84" s="193">
        <v>1.2E-2</v>
      </c>
      <c r="L84" s="192">
        <v>350.18967069706446</v>
      </c>
      <c r="M84" s="193">
        <v>8.7999999999999995E-2</v>
      </c>
      <c r="N84" s="193">
        <v>0.81699999999999995</v>
      </c>
      <c r="O84" s="193">
        <v>0.3</v>
      </c>
      <c r="P84" s="193">
        <v>9.240000000000001E-2</v>
      </c>
      <c r="Q84" s="193">
        <v>7.4400000000000008E-2</v>
      </c>
      <c r="R84" s="193">
        <v>2.3872961242048063E-3</v>
      </c>
      <c r="S84" s="193"/>
      <c r="T84" s="193"/>
      <c r="U84" s="191"/>
      <c r="V84" s="191" t="s">
        <v>243</v>
      </c>
      <c r="W84" s="193">
        <v>3961.0010374467061</v>
      </c>
      <c r="X84" s="193">
        <v>3961.0010374467061</v>
      </c>
      <c r="Y84" s="193">
        <v>0</v>
      </c>
      <c r="Z84" s="193">
        <v>0</v>
      </c>
      <c r="AA84" s="193">
        <v>3961.0010374467061</v>
      </c>
      <c r="AB84" s="193">
        <v>313.19811054630088</v>
      </c>
      <c r="AC84" s="193">
        <v>2.5999999999999999E-3</v>
      </c>
      <c r="AD84" s="193">
        <v>1.2E-2</v>
      </c>
      <c r="AE84" s="193">
        <v>316.8391105463009</v>
      </c>
      <c r="AF84" s="193">
        <v>0.06</v>
      </c>
      <c r="AG84" s="193">
        <v>0.53400000000000003</v>
      </c>
      <c r="AH84" s="193">
        <v>0.08</v>
      </c>
      <c r="AI84" s="193">
        <v>2.9499999999999998E-2</v>
      </c>
      <c r="AJ84" s="193">
        <v>1.5699999999999999E-2</v>
      </c>
      <c r="AK84" s="193">
        <v>2.1575563298252645E-3</v>
      </c>
      <c r="AL84" s="191"/>
      <c r="AM84" s="195"/>
      <c r="AN84" s="191"/>
      <c r="AO84" s="191" t="s">
        <v>243</v>
      </c>
      <c r="AP84" s="193">
        <v>3245.7574215420432</v>
      </c>
      <c r="AQ84" s="193">
        <v>3245.7574215420432</v>
      </c>
      <c r="AR84" s="193">
        <v>0</v>
      </c>
      <c r="AS84" s="193">
        <v>0</v>
      </c>
      <c r="AT84" s="193">
        <v>3245.7574215420432</v>
      </c>
      <c r="AU84" s="193">
        <v>256.64348029908308</v>
      </c>
      <c r="AV84" s="193">
        <v>2.1305142857142851E-3</v>
      </c>
      <c r="AW84" s="193">
        <v>9.8331428571428563E-3</v>
      </c>
      <c r="AX84" s="193">
        <v>259.6270197276545</v>
      </c>
      <c r="AY84" s="193">
        <v>4.9165714285714278E-2</v>
      </c>
      <c r="AZ84" s="193">
        <v>0.4375748571428571</v>
      </c>
      <c r="BA84" s="193">
        <v>6.5554285714285704E-2</v>
      </c>
      <c r="BB84" s="193">
        <v>2.7874857142857142E-2</v>
      </c>
      <c r="BC84" s="193">
        <v>1.4183199999999998E-2</v>
      </c>
      <c r="BD84" s="193">
        <v>1.7679633011253879E-3</v>
      </c>
    </row>
    <row r="85" spans="1:56">
      <c r="A85" s="195"/>
      <c r="B85" s="196"/>
      <c r="C85" s="191" t="s">
        <v>244</v>
      </c>
      <c r="D85" s="192">
        <v>632.74927705959908</v>
      </c>
      <c r="E85" s="192">
        <v>592.19963095937544</v>
      </c>
      <c r="F85" s="192">
        <v>223.40683084924885</v>
      </c>
      <c r="G85" s="192">
        <v>242.87483540154989</v>
      </c>
      <c r="H85" s="192">
        <v>125.91796470857669</v>
      </c>
      <c r="I85" s="192">
        <v>47.40363444652791</v>
      </c>
      <c r="J85" s="193">
        <v>8.2213299701751355E-2</v>
      </c>
      <c r="K85" s="193">
        <v>5.4867086955284565E-4</v>
      </c>
      <c r="L85" s="192">
        <v>49.62247085819844</v>
      </c>
      <c r="M85" s="193">
        <v>0.20637027837064206</v>
      </c>
      <c r="N85" s="193">
        <v>0.24962827450486438</v>
      </c>
      <c r="O85" s="193">
        <v>7.505494729309016E-2</v>
      </c>
      <c r="P85" s="193">
        <v>8.1869485998395594E-2</v>
      </c>
      <c r="Q85" s="193">
        <v>3.256749688005809E-2</v>
      </c>
      <c r="R85" s="193">
        <v>0.13740756474092966</v>
      </c>
      <c r="S85" s="193"/>
      <c r="T85" s="193"/>
      <c r="U85" s="191"/>
      <c r="V85" s="191" t="s">
        <v>244</v>
      </c>
      <c r="W85" s="193">
        <v>632.74927705959908</v>
      </c>
      <c r="X85" s="193">
        <v>592.19963095937544</v>
      </c>
      <c r="Y85" s="193">
        <v>223.40683084924885</v>
      </c>
      <c r="Z85" s="193">
        <v>242.87483540154989</v>
      </c>
      <c r="AA85" s="193">
        <v>125.91796470857669</v>
      </c>
      <c r="AB85" s="193">
        <v>47.40363444652791</v>
      </c>
      <c r="AC85" s="193">
        <v>8.2213299701751355E-2</v>
      </c>
      <c r="AD85" s="193">
        <v>5.4867086955284565E-4</v>
      </c>
      <c r="AE85" s="193">
        <v>49.62247085819844</v>
      </c>
      <c r="AF85" s="193">
        <v>0.20637027837064206</v>
      </c>
      <c r="AG85" s="193">
        <v>0.24962827450486438</v>
      </c>
      <c r="AH85" s="193">
        <v>7.505494729309016E-2</v>
      </c>
      <c r="AI85" s="193">
        <v>8.1869485998395594E-2</v>
      </c>
      <c r="AJ85" s="193">
        <v>3.256749688005809E-2</v>
      </c>
      <c r="AK85" s="193">
        <v>0.13740756474092966</v>
      </c>
      <c r="AL85" s="191"/>
      <c r="AM85" s="195"/>
      <c r="AN85" s="191"/>
      <c r="AO85" s="191" t="s">
        <v>244</v>
      </c>
      <c r="AP85" s="193">
        <v>632.74927705959908</v>
      </c>
      <c r="AQ85" s="193">
        <v>592.19963095937544</v>
      </c>
      <c r="AR85" s="193">
        <v>223.40683084924885</v>
      </c>
      <c r="AS85" s="193">
        <v>242.87483540154989</v>
      </c>
      <c r="AT85" s="193">
        <v>125.91796470857669</v>
      </c>
      <c r="AU85" s="193">
        <v>47.40363444652791</v>
      </c>
      <c r="AV85" s="193">
        <v>8.2213299701751355E-2</v>
      </c>
      <c r="AW85" s="193">
        <v>5.4867086955284565E-4</v>
      </c>
      <c r="AX85" s="193">
        <v>49.62247085819844</v>
      </c>
      <c r="AY85" s="193">
        <v>0.20637027837064206</v>
      </c>
      <c r="AZ85" s="193">
        <v>0.24962827450486438</v>
      </c>
      <c r="BA85" s="193">
        <v>7.505494729309016E-2</v>
      </c>
      <c r="BB85" s="193">
        <v>8.1869485998395594E-2</v>
      </c>
      <c r="BC85" s="193">
        <v>3.256749688005809E-2</v>
      </c>
      <c r="BD85" s="193">
        <v>0.13740756474092966</v>
      </c>
    </row>
    <row r="86" spans="1:56">
      <c r="A86" s="195"/>
      <c r="B86" s="196" t="s">
        <v>2188</v>
      </c>
      <c r="C86" s="191" t="s">
        <v>23</v>
      </c>
      <c r="D86" s="192">
        <v>280.22160125956674</v>
      </c>
      <c r="E86" s="192">
        <v>278.37461105020054</v>
      </c>
      <c r="F86" s="192">
        <v>8.9702368060786632</v>
      </c>
      <c r="G86" s="192">
        <v>251.0671455885151</v>
      </c>
      <c r="H86" s="192">
        <v>18.33722864995611</v>
      </c>
      <c r="I86" s="192">
        <v>21.663868741162968</v>
      </c>
      <c r="J86" s="193">
        <v>0.52775720510713553</v>
      </c>
      <c r="K86" s="193">
        <v>3.3732288474945873E-4</v>
      </c>
      <c r="L86" s="192">
        <v>34.958321088496696</v>
      </c>
      <c r="M86" s="193">
        <v>2.4243725109578347E-2</v>
      </c>
      <c r="N86" s="193">
        <v>4.9805230506168967E-2</v>
      </c>
      <c r="O86" s="193">
        <v>0.10843011637355093</v>
      </c>
      <c r="P86" s="193">
        <v>3.6320154014411162E-3</v>
      </c>
      <c r="Q86" s="193">
        <v>2.2554347269687471E-3</v>
      </c>
      <c r="R86" s="193">
        <v>5.2674354368354007E-2</v>
      </c>
      <c r="S86" s="193"/>
      <c r="T86" s="193"/>
      <c r="U86" s="191" t="s">
        <v>2188</v>
      </c>
      <c r="V86" s="191" t="s">
        <v>23</v>
      </c>
      <c r="W86" s="193">
        <v>253.78615742101385</v>
      </c>
      <c r="X86" s="193">
        <v>252.36748319587647</v>
      </c>
      <c r="Y86" s="193">
        <v>7.5402342588870761</v>
      </c>
      <c r="Z86" s="193">
        <v>228.16724969740005</v>
      </c>
      <c r="AA86" s="193">
        <v>16.659999239769526</v>
      </c>
      <c r="AB86" s="193">
        <v>19.602446201496416</v>
      </c>
      <c r="AC86" s="193">
        <v>0.4769686653212607</v>
      </c>
      <c r="AD86" s="193">
        <v>3.0701673938194018E-4</v>
      </c>
      <c r="AE86" s="193">
        <v>31.618153822863754</v>
      </c>
      <c r="AF86" s="193">
        <v>2.1122352022352919E-2</v>
      </c>
      <c r="AG86" s="193">
        <v>2.619545787531552E-2</v>
      </c>
      <c r="AH86" s="193">
        <v>6.6839610273581096E-2</v>
      </c>
      <c r="AI86" s="193">
        <v>2.6038274581227285E-3</v>
      </c>
      <c r="AJ86" s="193">
        <v>1.5127995822514792E-3</v>
      </c>
      <c r="AK86" s="193">
        <v>4.4436546850030435E-2</v>
      </c>
      <c r="AL86" s="191"/>
      <c r="AM86" s="195"/>
      <c r="AN86" s="191" t="s">
        <v>2188</v>
      </c>
      <c r="AO86" s="191" t="s">
        <v>23</v>
      </c>
      <c r="AP86" s="193">
        <v>207.95962842384787</v>
      </c>
      <c r="AQ86" s="193">
        <v>206.79712623022104</v>
      </c>
      <c r="AR86" s="193">
        <v>6.1786833869966085</v>
      </c>
      <c r="AS86" s="193">
        <v>186.96676346632663</v>
      </c>
      <c r="AT86" s="193">
        <v>13.651679377045426</v>
      </c>
      <c r="AU86" s="193">
        <v>16.062804487397631</v>
      </c>
      <c r="AV86" s="193">
        <v>0.39084175204039301</v>
      </c>
      <c r="AW86" s="193">
        <v>2.5157828815640122E-4</v>
      </c>
      <c r="AX86" s="193">
        <v>25.908818618278065</v>
      </c>
      <c r="AY86" s="193">
        <v>1.7308258742888046E-2</v>
      </c>
      <c r="AZ86" s="193">
        <v>2.1465306624687115E-2</v>
      </c>
      <c r="BA86" s="193">
        <v>5.4770286361323015E-2</v>
      </c>
      <c r="BB86" s="193">
        <v>2.1336506142559954E-3</v>
      </c>
      <c r="BC86" s="193">
        <v>1.239631200542069E-3</v>
      </c>
      <c r="BD86" s="193">
        <v>3.641257610453922E-2</v>
      </c>
    </row>
    <row r="87" spans="1:56">
      <c r="A87" s="195"/>
      <c r="B87" s="196"/>
      <c r="C87" s="191" t="s">
        <v>24</v>
      </c>
      <c r="D87" s="192">
        <v>2882.077218407424</v>
      </c>
      <c r="E87" s="192">
        <v>2880.5966066811652</v>
      </c>
      <c r="F87" s="192">
        <v>7.6163097633243426</v>
      </c>
      <c r="G87" s="192">
        <v>2804.7336633528398</v>
      </c>
      <c r="H87" s="192">
        <v>68.246633536406989</v>
      </c>
      <c r="I87" s="192">
        <v>106.20305590222844</v>
      </c>
      <c r="J87" s="193">
        <v>0.32507372399895579</v>
      </c>
      <c r="K87" s="193">
        <v>3.3093951245232535E-4</v>
      </c>
      <c r="L87" s="192">
        <v>114.42851897691313</v>
      </c>
      <c r="M87" s="193">
        <v>3.3253000485500048E-2</v>
      </c>
      <c r="N87" s="193">
        <v>9.6055869211123385E-2</v>
      </c>
      <c r="O87" s="193">
        <v>0.25382434066016696</v>
      </c>
      <c r="P87" s="193">
        <v>6.4235743343865254E-2</v>
      </c>
      <c r="Q87" s="193">
        <v>6.2215860159624575E-2</v>
      </c>
      <c r="R87" s="193">
        <v>8.9733042778695191E-2</v>
      </c>
      <c r="S87" s="193"/>
      <c r="T87" s="193"/>
      <c r="U87" s="191"/>
      <c r="V87" s="191" t="s">
        <v>24</v>
      </c>
      <c r="W87" s="193">
        <v>2345.3440219180334</v>
      </c>
      <c r="X87" s="193">
        <v>2344.286203161344</v>
      </c>
      <c r="Y87" s="193">
        <v>6.017583128102924</v>
      </c>
      <c r="Z87" s="193">
        <v>2277.4864193476888</v>
      </c>
      <c r="AA87" s="193">
        <v>60.782200686633523</v>
      </c>
      <c r="AB87" s="193">
        <v>84.57608218270633</v>
      </c>
      <c r="AC87" s="193">
        <v>0.26444226029122486</v>
      </c>
      <c r="AD87" s="193">
        <v>2.8293999040912023E-4</v>
      </c>
      <c r="AE87" s="193">
        <v>91.271454807128862</v>
      </c>
      <c r="AF87" s="193">
        <v>2.8112171146216083E-2</v>
      </c>
      <c r="AG87" s="193">
        <v>7.3808889823605964E-2</v>
      </c>
      <c r="AH87" s="193">
        <v>0.19459495613232972</v>
      </c>
      <c r="AI87" s="193">
        <v>5.5645749573038111E-2</v>
      </c>
      <c r="AJ87" s="193">
        <v>5.420344631964516E-2</v>
      </c>
      <c r="AK87" s="193">
        <v>7.561274901950768E-2</v>
      </c>
      <c r="AL87" s="191"/>
      <c r="AM87" s="195"/>
      <c r="AN87" s="191"/>
      <c r="AO87" s="191" t="s">
        <v>24</v>
      </c>
      <c r="AP87" s="193">
        <v>1921.8419013888338</v>
      </c>
      <c r="AQ87" s="193">
        <v>1920.9750944762095</v>
      </c>
      <c r="AR87" s="193">
        <v>4.9309795461140524</v>
      </c>
      <c r="AS87" s="193">
        <v>1866.2374430540485</v>
      </c>
      <c r="AT87" s="193">
        <v>49.806671876932832</v>
      </c>
      <c r="AU87" s="193">
        <v>69.304058200000483</v>
      </c>
      <c r="AV87" s="193">
        <v>0.2166915435757808</v>
      </c>
      <c r="AW87" s="193">
        <v>2.3184911214095904E-4</v>
      </c>
      <c r="AX87" s="193">
        <v>74.790437824813012</v>
      </c>
      <c r="AY87" s="193">
        <v>2.3035916242099348E-2</v>
      </c>
      <c r="AZ87" s="193">
        <v>6.0481113146886249E-2</v>
      </c>
      <c r="BA87" s="193">
        <v>0.15945666691072044</v>
      </c>
      <c r="BB87" s="193">
        <v>4.5597717078706648E-2</v>
      </c>
      <c r="BC87" s="193">
        <v>4.441585258421208E-2</v>
      </c>
      <c r="BD87" s="193">
        <v>6.1959246910842279E-2</v>
      </c>
    </row>
    <row r="88" spans="1:56">
      <c r="A88" s="195"/>
      <c r="B88" s="196"/>
      <c r="C88" s="191" t="s">
        <v>243</v>
      </c>
      <c r="D88" s="192">
        <v>4382.7742960637161</v>
      </c>
      <c r="E88" s="192">
        <v>4382.7742960637161</v>
      </c>
      <c r="F88" s="192">
        <v>0</v>
      </c>
      <c r="G88" s="192">
        <v>4382.7742960637161</v>
      </c>
      <c r="H88" s="192">
        <v>0</v>
      </c>
      <c r="I88" s="192">
        <v>334.40382105371003</v>
      </c>
      <c r="J88" s="193">
        <v>2.5999999999999999E-3</v>
      </c>
      <c r="K88" s="193">
        <v>1.2E-2</v>
      </c>
      <c r="L88" s="192">
        <v>338.04482105371005</v>
      </c>
      <c r="M88" s="193">
        <v>8.7999999999999995E-2</v>
      </c>
      <c r="N88" s="193">
        <v>0.81699999999999995</v>
      </c>
      <c r="O88" s="193">
        <v>0.3</v>
      </c>
      <c r="P88" s="193">
        <v>8.5210000000000008E-2</v>
      </c>
      <c r="Q88" s="193">
        <v>6.769E-2</v>
      </c>
      <c r="R88" s="193">
        <v>0</v>
      </c>
      <c r="S88" s="193"/>
      <c r="T88" s="193"/>
      <c r="U88" s="191"/>
      <c r="V88" s="191" t="s">
        <v>243</v>
      </c>
      <c r="W88" s="193">
        <v>3961.0010374467061</v>
      </c>
      <c r="X88" s="193">
        <v>3961.0010374467061</v>
      </c>
      <c r="Y88" s="193">
        <v>0</v>
      </c>
      <c r="Z88" s="193">
        <v>3961.0010374467061</v>
      </c>
      <c r="AA88" s="193">
        <v>0</v>
      </c>
      <c r="AB88" s="193">
        <v>302.22201212385517</v>
      </c>
      <c r="AC88" s="193">
        <v>2.5999999999999999E-3</v>
      </c>
      <c r="AD88" s="193">
        <v>1.2E-2</v>
      </c>
      <c r="AE88" s="193">
        <v>305.86301212385519</v>
      </c>
      <c r="AF88" s="193">
        <v>0.06</v>
      </c>
      <c r="AG88" s="193">
        <v>0.53400000000000003</v>
      </c>
      <c r="AH88" s="193">
        <v>0.08</v>
      </c>
      <c r="AI88" s="193">
        <v>2.9499999999999998E-2</v>
      </c>
      <c r="AJ88" s="193">
        <v>1.5699999999999999E-2</v>
      </c>
      <c r="AK88" s="193">
        <v>0</v>
      </c>
      <c r="AL88" s="191"/>
      <c r="AM88" s="195"/>
      <c r="AN88" s="191"/>
      <c r="AO88" s="191" t="s">
        <v>243</v>
      </c>
      <c r="AP88" s="193">
        <v>3245.7574215420432</v>
      </c>
      <c r="AQ88" s="193">
        <v>3245.7574215420432</v>
      </c>
      <c r="AR88" s="193">
        <v>0</v>
      </c>
      <c r="AS88" s="193">
        <v>3245.7574215420432</v>
      </c>
      <c r="AT88" s="193">
        <v>0</v>
      </c>
      <c r="AU88" s="193">
        <v>247.64935164891898</v>
      </c>
      <c r="AV88" s="193">
        <v>2.1305142857142851E-3</v>
      </c>
      <c r="AW88" s="193">
        <v>9.8331428571428563E-3</v>
      </c>
      <c r="AX88" s="193">
        <v>250.63289107749043</v>
      </c>
      <c r="AY88" s="193">
        <v>4.9165714285714278E-2</v>
      </c>
      <c r="AZ88" s="193">
        <v>0.4375748571428571</v>
      </c>
      <c r="BA88" s="193">
        <v>6.5554285714285704E-2</v>
      </c>
      <c r="BB88" s="193">
        <v>2.7874857142857142E-2</v>
      </c>
      <c r="BC88" s="193">
        <v>1.4183199999999998E-2</v>
      </c>
      <c r="BD88" s="193">
        <v>0</v>
      </c>
    </row>
    <row r="89" spans="1:56">
      <c r="A89" s="195"/>
      <c r="B89" s="196"/>
      <c r="C89" s="191" t="s">
        <v>244</v>
      </c>
      <c r="D89" s="192">
        <v>632.74927705959908</v>
      </c>
      <c r="E89" s="192">
        <v>592.19963095937544</v>
      </c>
      <c r="F89" s="192">
        <v>223.40683084924885</v>
      </c>
      <c r="G89" s="192">
        <v>242.87483540154989</v>
      </c>
      <c r="H89" s="192">
        <v>125.91796470857669</v>
      </c>
      <c r="I89" s="192">
        <v>47.40363444652791</v>
      </c>
      <c r="J89" s="193">
        <v>8.2213299701751355E-2</v>
      </c>
      <c r="K89" s="193">
        <v>5.4867086955284565E-4</v>
      </c>
      <c r="L89" s="192">
        <v>49.62247085819844</v>
      </c>
      <c r="M89" s="193">
        <v>0.20637027837064206</v>
      </c>
      <c r="N89" s="193">
        <v>0.24962827450486438</v>
      </c>
      <c r="O89" s="193">
        <v>7.505494729309016E-2</v>
      </c>
      <c r="P89" s="193">
        <v>8.1869485998395594E-2</v>
      </c>
      <c r="Q89" s="193">
        <v>3.256749688005809E-2</v>
      </c>
      <c r="R89" s="193">
        <v>0.13740756474092966</v>
      </c>
      <c r="S89" s="193"/>
      <c r="T89" s="193"/>
      <c r="U89" s="191"/>
      <c r="V89" s="191" t="s">
        <v>244</v>
      </c>
      <c r="W89" s="193">
        <v>632.74927705959908</v>
      </c>
      <c r="X89" s="193">
        <v>592.19963095937544</v>
      </c>
      <c r="Y89" s="193">
        <v>223.40683084924885</v>
      </c>
      <c r="Z89" s="193">
        <v>242.87483540154989</v>
      </c>
      <c r="AA89" s="193">
        <v>125.91796470857669</v>
      </c>
      <c r="AB89" s="193">
        <v>47.40363444652791</v>
      </c>
      <c r="AC89" s="193">
        <v>8.2213299701751355E-2</v>
      </c>
      <c r="AD89" s="193">
        <v>5.4867086955284565E-4</v>
      </c>
      <c r="AE89" s="193">
        <v>49.62247085819844</v>
      </c>
      <c r="AF89" s="193">
        <v>0.20637027837064206</v>
      </c>
      <c r="AG89" s="193">
        <v>0.24962827450486438</v>
      </c>
      <c r="AH89" s="193">
        <v>7.505494729309016E-2</v>
      </c>
      <c r="AI89" s="193">
        <v>8.1869485998395594E-2</v>
      </c>
      <c r="AJ89" s="193">
        <v>3.256749688005809E-2</v>
      </c>
      <c r="AK89" s="193">
        <v>0.13740756474092966</v>
      </c>
      <c r="AL89" s="191"/>
      <c r="AM89" s="195"/>
      <c r="AN89" s="191"/>
      <c r="AO89" s="191" t="s">
        <v>244</v>
      </c>
      <c r="AP89" s="193">
        <v>632.74927705959908</v>
      </c>
      <c r="AQ89" s="193">
        <v>592.19963095937544</v>
      </c>
      <c r="AR89" s="193">
        <v>223.40683084924885</v>
      </c>
      <c r="AS89" s="193">
        <v>242.87483540154989</v>
      </c>
      <c r="AT89" s="193">
        <v>125.91796470857669</v>
      </c>
      <c r="AU89" s="193">
        <v>47.40363444652791</v>
      </c>
      <c r="AV89" s="193">
        <v>8.2213299701751355E-2</v>
      </c>
      <c r="AW89" s="193">
        <v>5.4867086955284565E-4</v>
      </c>
      <c r="AX89" s="193">
        <v>49.62247085819844</v>
      </c>
      <c r="AY89" s="193">
        <v>0.20637027837064206</v>
      </c>
      <c r="AZ89" s="193">
        <v>0.24962827450486438</v>
      </c>
      <c r="BA89" s="193">
        <v>7.505494729309016E-2</v>
      </c>
      <c r="BB89" s="193">
        <v>8.1869485998395594E-2</v>
      </c>
      <c r="BC89" s="193">
        <v>3.256749688005809E-2</v>
      </c>
      <c r="BD89" s="193">
        <v>0.13740756474092966</v>
      </c>
    </row>
    <row r="90" spans="1:56">
      <c r="A90" s="195"/>
      <c r="B90" s="196" t="s">
        <v>2189</v>
      </c>
      <c r="C90" s="191" t="s">
        <v>23</v>
      </c>
      <c r="D90" s="192">
        <v>427.26021532697678</v>
      </c>
      <c r="E90" s="192">
        <v>415.16303963038911</v>
      </c>
      <c r="F90" s="192">
        <v>59.39842759843328</v>
      </c>
      <c r="G90" s="192">
        <v>142.55850183037813</v>
      </c>
      <c r="H90" s="192">
        <v>213.20611020079804</v>
      </c>
      <c r="I90" s="192">
        <v>-30.45905142348348</v>
      </c>
      <c r="J90" s="193">
        <v>0.35583762801471147</v>
      </c>
      <c r="K90" s="193">
        <v>2.8732044111500613E-2</v>
      </c>
      <c r="L90" s="192">
        <v>-13.000961577888511</v>
      </c>
      <c r="M90" s="193">
        <v>2.8566374199385017E-2</v>
      </c>
      <c r="N90" s="193">
        <v>9.6445193242568422E-2</v>
      </c>
      <c r="O90" s="193">
        <v>0.23234422943827923</v>
      </c>
      <c r="P90" s="193">
        <v>2.4549746200307962E-2</v>
      </c>
      <c r="Q90" s="193">
        <v>1.4622643345404192E-2</v>
      </c>
      <c r="R90" s="193">
        <v>0.1257002112998776</v>
      </c>
      <c r="S90" s="193"/>
      <c r="T90" s="193"/>
      <c r="U90" s="191" t="s">
        <v>2189</v>
      </c>
      <c r="V90" s="191" t="s">
        <v>23</v>
      </c>
      <c r="W90" s="193">
        <v>454.33929897486883</v>
      </c>
      <c r="X90" s="193">
        <v>444.83397617434161</v>
      </c>
      <c r="Y90" s="193">
        <v>50.942003723459564</v>
      </c>
      <c r="Z90" s="193">
        <v>205.27690377931123</v>
      </c>
      <c r="AA90" s="193">
        <v>188.61506867332514</v>
      </c>
      <c r="AB90" s="193">
        <v>-21.894971983274125</v>
      </c>
      <c r="AC90" s="193">
        <v>0.33059372839165363</v>
      </c>
      <c r="AD90" s="193">
        <v>2.5876398977926235E-2</v>
      </c>
      <c r="AE90" s="193">
        <v>-5.9189618780607667</v>
      </c>
      <c r="AF90" s="193">
        <v>1.9562767270474221E-2</v>
      </c>
      <c r="AG90" s="193">
        <v>4.5079729061211909E-2</v>
      </c>
      <c r="AH90" s="193">
        <v>0.13529684012280555</v>
      </c>
      <c r="AI90" s="193">
        <v>1.5729584940978824E-2</v>
      </c>
      <c r="AJ90" s="193">
        <v>8.0189326469990753E-3</v>
      </c>
      <c r="AK90" s="193">
        <v>9.0039376123417558E-2</v>
      </c>
      <c r="AL90" s="191"/>
      <c r="AM90" s="195"/>
      <c r="AN90" s="191" t="s">
        <v>2189</v>
      </c>
      <c r="AO90" s="191" t="s">
        <v>23</v>
      </c>
      <c r="AP90" s="193">
        <v>372.2986027028353</v>
      </c>
      <c r="AQ90" s="193">
        <v>364.50966961943186</v>
      </c>
      <c r="AR90" s="193">
        <v>41.743333336823433</v>
      </c>
      <c r="AS90" s="193">
        <v>168.20976001116128</v>
      </c>
      <c r="AT90" s="193">
        <v>154.55657627288468</v>
      </c>
      <c r="AU90" s="193">
        <v>-17.941365613722908</v>
      </c>
      <c r="AV90" s="193">
        <v>0.27089794657921784</v>
      </c>
      <c r="AW90" s="193">
        <v>2.1203860648197837E-2</v>
      </c>
      <c r="AX90" s="193">
        <v>-4.8501664760795071</v>
      </c>
      <c r="AY90" s="193">
        <v>1.6030290437634303E-2</v>
      </c>
      <c r="AZ90" s="193">
        <v>3.6939617985015924E-2</v>
      </c>
      <c r="BA90" s="193">
        <v>0.11086609642063035</v>
      </c>
      <c r="BB90" s="193">
        <v>1.2889271317350645E-2</v>
      </c>
      <c r="BC90" s="193">
        <v>6.5709425233123836E-3</v>
      </c>
      <c r="BD90" s="193">
        <v>7.3780837349131864E-2</v>
      </c>
    </row>
    <row r="91" spans="1:56">
      <c r="A91" s="195"/>
      <c r="B91" s="196"/>
      <c r="C91" s="191" t="s">
        <v>24</v>
      </c>
      <c r="D91" s="192">
        <v>9433.2093520310373</v>
      </c>
      <c r="E91" s="192">
        <v>289.40940913804781</v>
      </c>
      <c r="F91" s="192">
        <v>-99.875499819279781</v>
      </c>
      <c r="G91" s="192">
        <v>375.63006034692341</v>
      </c>
      <c r="H91" s="192">
        <v>13.654848609757636</v>
      </c>
      <c r="I91" s="192">
        <v>12.433906450764017</v>
      </c>
      <c r="J91" s="193">
        <v>1.9440432971274627E-2</v>
      </c>
      <c r="K91" s="193">
        <v>-2.6281389378647314E-2</v>
      </c>
      <c r="L91" s="192">
        <v>5.0880632402089834</v>
      </c>
      <c r="M91" s="193">
        <v>0.2762333345004776</v>
      </c>
      <c r="N91" s="193">
        <v>-2.0726373932926565E-2</v>
      </c>
      <c r="O91" s="193">
        <v>-3.2672846826373864E-2</v>
      </c>
      <c r="P91" s="193">
        <v>-1.0093996770368742E-2</v>
      </c>
      <c r="Q91" s="193">
        <v>-2.826497205505216E-3</v>
      </c>
      <c r="R91" s="193">
        <v>-5.5493379694485784E-2</v>
      </c>
      <c r="S91" s="193"/>
      <c r="T91" s="193"/>
      <c r="U91" s="191"/>
      <c r="V91" s="191" t="s">
        <v>24</v>
      </c>
      <c r="W91" s="193">
        <v>8560.5138299189384</v>
      </c>
      <c r="X91" s="193">
        <v>352.04503023380181</v>
      </c>
      <c r="Y91" s="193">
        <v>-78.471495757486636</v>
      </c>
      <c r="Z91" s="193">
        <v>364.64376067630872</v>
      </c>
      <c r="AA91" s="193">
        <v>65.872765316367492</v>
      </c>
      <c r="AB91" s="193">
        <v>17.669139601769761</v>
      </c>
      <c r="AC91" s="193">
        <v>2.315668395297996E-2</v>
      </c>
      <c r="AD91" s="193">
        <v>-2.3481053301370774E-2</v>
      </c>
      <c r="AE91" s="193">
        <v>11.250702816785768</v>
      </c>
      <c r="AF91" s="193">
        <v>0.23256069373629898</v>
      </c>
      <c r="AG91" s="193">
        <v>-2.313150647401916E-2</v>
      </c>
      <c r="AH91" s="193">
        <v>-4.8943179383814317E-2</v>
      </c>
      <c r="AI91" s="193">
        <v>-8.059026870822484E-3</v>
      </c>
      <c r="AJ91" s="193">
        <v>-2.5521297299658857E-3</v>
      </c>
      <c r="AK91" s="193">
        <v>-7.1629535250485515E-2</v>
      </c>
      <c r="AL91" s="191"/>
      <c r="AM91" s="195"/>
      <c r="AN91" s="191"/>
      <c r="AO91" s="191" t="s">
        <v>24</v>
      </c>
      <c r="AP91" s="193">
        <v>7014.7296183450035</v>
      </c>
      <c r="AQ91" s="193">
        <v>288.47575620301239</v>
      </c>
      <c r="AR91" s="193">
        <v>-64.301785666420471</v>
      </c>
      <c r="AS91" s="193">
        <v>298.79951589132946</v>
      </c>
      <c r="AT91" s="193">
        <v>53.978025979240549</v>
      </c>
      <c r="AU91" s="193">
        <v>14.47859782225019</v>
      </c>
      <c r="AV91" s="193">
        <v>1.897524845061329E-2</v>
      </c>
      <c r="AW91" s="193">
        <v>-1.9241045962380392E-2</v>
      </c>
      <c r="AX91" s="193">
        <v>9.2191473367261647</v>
      </c>
      <c r="AY91" s="193">
        <v>0.19056687703877295</v>
      </c>
      <c r="AZ91" s="193">
        <v>-1.8954617304996268E-2</v>
      </c>
      <c r="BA91" s="193">
        <v>-4.0105439563651264E-2</v>
      </c>
      <c r="BB91" s="193">
        <v>-6.6037968758625373E-3</v>
      </c>
      <c r="BC91" s="193">
        <v>-2.091288018726331E-3</v>
      </c>
      <c r="BD91" s="193">
        <v>-5.8695287742397836E-2</v>
      </c>
    </row>
    <row r="92" spans="1:56">
      <c r="A92" s="195"/>
      <c r="B92" s="196"/>
      <c r="C92" s="191" t="s">
        <v>243</v>
      </c>
      <c r="D92" s="192">
        <v>4382.7742960637161</v>
      </c>
      <c r="E92" s="192">
        <v>3555.4897502447893</v>
      </c>
      <c r="F92" s="192">
        <v>0</v>
      </c>
      <c r="G92" s="192">
        <v>0</v>
      </c>
      <c r="H92" s="192">
        <v>3555.4897502447893</v>
      </c>
      <c r="I92" s="192">
        <v>344.20576852406248</v>
      </c>
      <c r="J92" s="193">
        <v>2.5999999999999999E-3</v>
      </c>
      <c r="K92" s="193">
        <v>1.2E-2</v>
      </c>
      <c r="L92" s="192">
        <v>347.8467685240625</v>
      </c>
      <c r="M92" s="193">
        <v>8.7999999999999995E-2</v>
      </c>
      <c r="N92" s="193">
        <v>0.81699999999999995</v>
      </c>
      <c r="O92" s="193">
        <v>0.3</v>
      </c>
      <c r="P92" s="193">
        <v>9.240000000000001E-2</v>
      </c>
      <c r="Q92" s="193">
        <v>7.4400000000000008E-2</v>
      </c>
      <c r="R92" s="193">
        <v>3.5064962363644217E-2</v>
      </c>
      <c r="S92" s="193"/>
      <c r="T92" s="193"/>
      <c r="U92" s="191"/>
      <c r="V92" s="191" t="s">
        <v>243</v>
      </c>
      <c r="W92" s="193">
        <v>3961.0010374467061</v>
      </c>
      <c r="X92" s="193">
        <v>3218.1984628503674</v>
      </c>
      <c r="Y92" s="193">
        <v>0</v>
      </c>
      <c r="Z92" s="193">
        <v>0</v>
      </c>
      <c r="AA92" s="193">
        <v>3218.1984628503674</v>
      </c>
      <c r="AB92" s="193">
        <v>313.88206028339772</v>
      </c>
      <c r="AC92" s="193">
        <v>2.5999999999999999E-3</v>
      </c>
      <c r="AD92" s="193">
        <v>1.2E-2</v>
      </c>
      <c r="AE92" s="193">
        <v>317.52306028339774</v>
      </c>
      <c r="AF92" s="193">
        <v>0.06</v>
      </c>
      <c r="AG92" s="193">
        <v>0.53400000000000003</v>
      </c>
      <c r="AH92" s="193">
        <v>0.08</v>
      </c>
      <c r="AI92" s="193">
        <v>2.9499999999999998E-2</v>
      </c>
      <c r="AJ92" s="193">
        <v>1.5699999999999999E-2</v>
      </c>
      <c r="AK92" s="193">
        <v>1.7529519428332561E-3</v>
      </c>
      <c r="AL92" s="191"/>
      <c r="AM92" s="195"/>
      <c r="AN92" s="191"/>
      <c r="AO92" s="191" t="s">
        <v>243</v>
      </c>
      <c r="AP92" s="193">
        <v>3245.7574215420432</v>
      </c>
      <c r="AQ92" s="193">
        <v>2637.0837689871005</v>
      </c>
      <c r="AR92" s="193">
        <v>0</v>
      </c>
      <c r="AS92" s="193">
        <v>0</v>
      </c>
      <c r="AT92" s="193">
        <v>2637.0837689871005</v>
      </c>
      <c r="AU92" s="193">
        <v>257.20392825508128</v>
      </c>
      <c r="AV92" s="193">
        <v>2.1305142857142851E-3</v>
      </c>
      <c r="AW92" s="193">
        <v>9.8331428571428563E-3</v>
      </c>
      <c r="AX92" s="193">
        <v>260.18746768365276</v>
      </c>
      <c r="AY92" s="193">
        <v>4.9165714285714278E-2</v>
      </c>
      <c r="AZ92" s="193">
        <v>0.4375748571428571</v>
      </c>
      <c r="BA92" s="193">
        <v>6.5554285714285704E-2</v>
      </c>
      <c r="BB92" s="193">
        <v>2.7874857142857142E-2</v>
      </c>
      <c r="BC92" s="193">
        <v>1.4183199999999998E-2</v>
      </c>
      <c r="BD92" s="193">
        <v>1.4364189062987937E-3</v>
      </c>
    </row>
    <row r="93" spans="1:56">
      <c r="A93" s="195"/>
      <c r="B93" s="196"/>
      <c r="C93" s="191" t="s">
        <v>244</v>
      </c>
      <c r="D93" s="192">
        <v>632.74927705959908</v>
      </c>
      <c r="E93" s="192">
        <v>592.19963095937544</v>
      </c>
      <c r="F93" s="192">
        <v>223.40683084924885</v>
      </c>
      <c r="G93" s="192">
        <v>242.87483540154989</v>
      </c>
      <c r="H93" s="192">
        <v>125.91796470857669</v>
      </c>
      <c r="I93" s="192">
        <v>47.40363444652791</v>
      </c>
      <c r="J93" s="193">
        <v>8.2213299701751355E-2</v>
      </c>
      <c r="K93" s="193">
        <v>5.4867086955284565E-4</v>
      </c>
      <c r="L93" s="192">
        <v>49.62247085819844</v>
      </c>
      <c r="M93" s="193">
        <v>0.20637027837064206</v>
      </c>
      <c r="N93" s="193">
        <v>0.24962827450486438</v>
      </c>
      <c r="O93" s="193">
        <v>7.505494729309016E-2</v>
      </c>
      <c r="P93" s="193">
        <v>8.1869485998395594E-2</v>
      </c>
      <c r="Q93" s="193">
        <v>3.256749688005809E-2</v>
      </c>
      <c r="R93" s="193">
        <v>0.13740756474092966</v>
      </c>
      <c r="S93" s="193"/>
      <c r="T93" s="193"/>
      <c r="U93" s="191"/>
      <c r="V93" s="191" t="s">
        <v>244</v>
      </c>
      <c r="W93" s="193">
        <v>632.74927705959908</v>
      </c>
      <c r="X93" s="193">
        <v>592.19963095937544</v>
      </c>
      <c r="Y93" s="193">
        <v>223.40683084924885</v>
      </c>
      <c r="Z93" s="193">
        <v>242.87483540154989</v>
      </c>
      <c r="AA93" s="193">
        <v>125.91796470857669</v>
      </c>
      <c r="AB93" s="193">
        <v>47.40363444652791</v>
      </c>
      <c r="AC93" s="193">
        <v>8.2213299701751355E-2</v>
      </c>
      <c r="AD93" s="193">
        <v>5.4867086955284565E-4</v>
      </c>
      <c r="AE93" s="193">
        <v>49.62247085819844</v>
      </c>
      <c r="AF93" s="193">
        <v>0.20637027837064206</v>
      </c>
      <c r="AG93" s="193">
        <v>0.24962827450486438</v>
      </c>
      <c r="AH93" s="193">
        <v>7.505494729309016E-2</v>
      </c>
      <c r="AI93" s="193">
        <v>8.1869485998395594E-2</v>
      </c>
      <c r="AJ93" s="193">
        <v>3.256749688005809E-2</v>
      </c>
      <c r="AK93" s="193">
        <v>0.13740756474092966</v>
      </c>
      <c r="AL93" s="191"/>
      <c r="AM93" s="195"/>
      <c r="AN93" s="191"/>
      <c r="AO93" s="191" t="s">
        <v>244</v>
      </c>
      <c r="AP93" s="193">
        <v>632.74927705959908</v>
      </c>
      <c r="AQ93" s="193">
        <v>592.19963095937544</v>
      </c>
      <c r="AR93" s="193">
        <v>223.40683084924885</v>
      </c>
      <c r="AS93" s="193">
        <v>242.87483540154989</v>
      </c>
      <c r="AT93" s="193">
        <v>125.91796470857669</v>
      </c>
      <c r="AU93" s="193">
        <v>47.40363444652791</v>
      </c>
      <c r="AV93" s="193">
        <v>8.2213299701751355E-2</v>
      </c>
      <c r="AW93" s="193">
        <v>5.4867086955284565E-4</v>
      </c>
      <c r="AX93" s="193">
        <v>49.62247085819844</v>
      </c>
      <c r="AY93" s="193">
        <v>0.20637027837064206</v>
      </c>
      <c r="AZ93" s="193">
        <v>0.24962827450486438</v>
      </c>
      <c r="BA93" s="193">
        <v>7.505494729309016E-2</v>
      </c>
      <c r="BB93" s="193">
        <v>8.1869485998395594E-2</v>
      </c>
      <c r="BC93" s="193">
        <v>3.256749688005809E-2</v>
      </c>
      <c r="BD93" s="193">
        <v>0.13740756474092966</v>
      </c>
    </row>
    <row r="94" spans="1:56">
      <c r="A94" s="195"/>
      <c r="B94" s="196" t="s">
        <v>2190</v>
      </c>
      <c r="C94" s="191" t="s">
        <v>23</v>
      </c>
      <c r="D94" s="192">
        <v>551.94084534593514</v>
      </c>
      <c r="E94" s="192"/>
      <c r="F94" s="192"/>
      <c r="G94" s="192"/>
      <c r="H94" s="192"/>
      <c r="I94" s="192">
        <v>12.742767457421554</v>
      </c>
      <c r="J94" s="193"/>
      <c r="K94" s="193"/>
      <c r="L94" s="192">
        <v>39.183171168088251</v>
      </c>
      <c r="M94" s="193">
        <v>5.6866015710979399E-2</v>
      </c>
      <c r="N94" s="193">
        <v>0.10722689101794781</v>
      </c>
      <c r="O94" s="193">
        <v>0.81081530655613743</v>
      </c>
      <c r="P94" s="193">
        <v>4.2374898430442551E-2</v>
      </c>
      <c r="Q94" s="193">
        <v>2.379304201550193E-2</v>
      </c>
      <c r="R94" s="193">
        <v>0.42193268160068265</v>
      </c>
      <c r="S94" s="193"/>
      <c r="T94" s="193"/>
      <c r="U94" s="191" t="s">
        <v>2190</v>
      </c>
      <c r="V94" s="191" t="s">
        <v>23</v>
      </c>
      <c r="W94" s="193">
        <v>546.47608450092594</v>
      </c>
      <c r="X94" s="193"/>
      <c r="Y94" s="193"/>
      <c r="Z94" s="193"/>
      <c r="AA94" s="193"/>
      <c r="AB94" s="193">
        <v>12.561998632873578</v>
      </c>
      <c r="AC94" s="193"/>
      <c r="AD94" s="193"/>
      <c r="AE94" s="193">
        <v>38.62731893129709</v>
      </c>
      <c r="AF94" s="193">
        <v>1.1093872448220654E-2</v>
      </c>
      <c r="AG94" s="193">
        <v>5.1582633179088538E-2</v>
      </c>
      <c r="AH94" s="193">
        <v>3.4826307783112971E-2</v>
      </c>
      <c r="AI94" s="193">
        <v>1.5282398877544533E-2</v>
      </c>
      <c r="AJ94" s="193">
        <v>6.2243401053211798E-3</v>
      </c>
      <c r="AK94" s="193">
        <v>0.13311898257143309</v>
      </c>
      <c r="AL94" s="191"/>
      <c r="AM94" s="195"/>
      <c r="AN94" s="191" t="s">
        <v>2190</v>
      </c>
      <c r="AO94" s="191" t="s">
        <v>23</v>
      </c>
      <c r="AP94" s="193">
        <v>546.47608450092594</v>
      </c>
      <c r="AQ94" s="193"/>
      <c r="AR94" s="193"/>
      <c r="AS94" s="193"/>
      <c r="AT94" s="193"/>
      <c r="AU94" s="193">
        <v>12.561998632873578</v>
      </c>
      <c r="AV94" s="193"/>
      <c r="AW94" s="193"/>
      <c r="AX94" s="193">
        <v>38.62731893129709</v>
      </c>
      <c r="AY94" s="193">
        <v>1.1093872448220654E-2</v>
      </c>
      <c r="AZ94" s="193">
        <v>5.1582633179088538E-2</v>
      </c>
      <c r="BA94" s="193">
        <v>3.4826307783112971E-2</v>
      </c>
      <c r="BB94" s="193">
        <v>1.5282398877544533E-2</v>
      </c>
      <c r="BC94" s="193">
        <v>6.2243401053211798E-3</v>
      </c>
      <c r="BD94" s="193">
        <v>0.13311898257143309</v>
      </c>
    </row>
    <row r="95" spans="1:56">
      <c r="A95" s="195"/>
      <c r="B95" s="196"/>
      <c r="C95" s="191" t="s">
        <v>24</v>
      </c>
      <c r="D95" s="192">
        <v>2950.6007797173788</v>
      </c>
      <c r="E95" s="192"/>
      <c r="F95" s="192"/>
      <c r="G95" s="192"/>
      <c r="H95" s="192"/>
      <c r="I95" s="192">
        <v>157.77164434357215</v>
      </c>
      <c r="J95" s="193"/>
      <c r="K95" s="193"/>
      <c r="L95" s="192">
        <v>167.95951614030713</v>
      </c>
      <c r="M95" s="193">
        <v>0.40129060446326259</v>
      </c>
      <c r="N95" s="193">
        <v>0.14626954759759853</v>
      </c>
      <c r="O95" s="193">
        <v>0.94971157270237949</v>
      </c>
      <c r="P95" s="193">
        <v>0.1969736451697898</v>
      </c>
      <c r="Q95" s="193">
        <v>9.0479669403036103E-2</v>
      </c>
      <c r="R95" s="193">
        <v>0.9251932303173942</v>
      </c>
      <c r="S95" s="193"/>
      <c r="T95" s="193"/>
      <c r="U95" s="191"/>
      <c r="V95" s="191" t="s">
        <v>24</v>
      </c>
      <c r="W95" s="193">
        <v>2921.3869106112661</v>
      </c>
      <c r="X95" s="193"/>
      <c r="Y95" s="193"/>
      <c r="Z95" s="193"/>
      <c r="AA95" s="193"/>
      <c r="AB95" s="193">
        <v>155.5334967205942</v>
      </c>
      <c r="AC95" s="193"/>
      <c r="AD95" s="193"/>
      <c r="AE95" s="193">
        <v>165.57684342766598</v>
      </c>
      <c r="AF95" s="193">
        <v>7.8286947395986753E-2</v>
      </c>
      <c r="AG95" s="193">
        <v>7.0364517215511416E-2</v>
      </c>
      <c r="AH95" s="193">
        <v>4.079220911183843E-2</v>
      </c>
      <c r="AI95" s="193">
        <v>7.103804198586755E-2</v>
      </c>
      <c r="AJ95" s="193">
        <v>2.3669786932439821E-2</v>
      </c>
      <c r="AK95" s="193">
        <v>0.291896757166558</v>
      </c>
      <c r="AL95" s="191"/>
      <c r="AM95" s="195"/>
      <c r="AN95" s="191"/>
      <c r="AO95" s="191" t="s">
        <v>24</v>
      </c>
      <c r="AP95" s="193">
        <v>2921.3869106112661</v>
      </c>
      <c r="AQ95" s="193"/>
      <c r="AR95" s="193"/>
      <c r="AS95" s="193"/>
      <c r="AT95" s="193"/>
      <c r="AU95" s="193">
        <v>155.5334967205942</v>
      </c>
      <c r="AV95" s="193"/>
      <c r="AW95" s="193"/>
      <c r="AX95" s="193">
        <v>165.57684342766598</v>
      </c>
      <c r="AY95" s="193">
        <v>7.8286947395986753E-2</v>
      </c>
      <c r="AZ95" s="193">
        <v>7.0364517215511416E-2</v>
      </c>
      <c r="BA95" s="193">
        <v>4.079220911183843E-2</v>
      </c>
      <c r="BB95" s="193">
        <v>7.103804198586755E-2</v>
      </c>
      <c r="BC95" s="193">
        <v>2.3669786932439821E-2</v>
      </c>
      <c r="BD95" s="193">
        <v>0.291896757166558</v>
      </c>
    </row>
    <row r="96" spans="1:56">
      <c r="A96" s="195"/>
      <c r="B96" s="196"/>
      <c r="C96" s="191" t="s">
        <v>243</v>
      </c>
      <c r="D96" s="192">
        <v>12500</v>
      </c>
      <c r="E96" s="192"/>
      <c r="F96" s="192"/>
      <c r="G96" s="192"/>
      <c r="H96" s="192"/>
      <c r="I96" s="192">
        <v>888.2</v>
      </c>
      <c r="J96" s="193"/>
      <c r="K96" s="193"/>
      <c r="L96" s="192">
        <v>888.2</v>
      </c>
      <c r="M96" s="193">
        <v>1.7915000000000001</v>
      </c>
      <c r="N96" s="193">
        <v>14.52</v>
      </c>
      <c r="O96" s="193">
        <v>4.1325000000000003</v>
      </c>
      <c r="P96" s="193">
        <v>9.8849999999999993E-2</v>
      </c>
      <c r="Q96" s="193">
        <v>7.1099999999999997E-2</v>
      </c>
      <c r="R96" s="193">
        <v>5.4199999999999998E-2</v>
      </c>
      <c r="S96" s="193"/>
      <c r="T96" s="193"/>
      <c r="U96" s="191"/>
      <c r="V96" s="191" t="s">
        <v>243</v>
      </c>
      <c r="W96" s="193">
        <v>12376.237623762378</v>
      </c>
      <c r="X96" s="193"/>
      <c r="Y96" s="193"/>
      <c r="Z96" s="193"/>
      <c r="AA96" s="193"/>
      <c r="AB96" s="193">
        <v>875.6</v>
      </c>
      <c r="AC96" s="193"/>
      <c r="AD96" s="193"/>
      <c r="AE96" s="193">
        <v>875.6</v>
      </c>
      <c r="AF96" s="193">
        <v>0.34949999999999998</v>
      </c>
      <c r="AG96" s="193">
        <v>6.9850000000000003</v>
      </c>
      <c r="AH96" s="193">
        <v>0.17749999999999999</v>
      </c>
      <c r="AI96" s="193">
        <v>3.5650000000000001E-2</v>
      </c>
      <c r="AJ96" s="193">
        <v>1.8599999999999998E-2</v>
      </c>
      <c r="AK96" s="193">
        <v>1.7100000000000001E-2</v>
      </c>
      <c r="AL96" s="191"/>
      <c r="AM96" s="195"/>
      <c r="AN96" s="191"/>
      <c r="AO96" s="191" t="s">
        <v>243</v>
      </c>
      <c r="AP96" s="193">
        <v>12376.237623762378</v>
      </c>
      <c r="AQ96" s="193"/>
      <c r="AR96" s="193"/>
      <c r="AS96" s="193"/>
      <c r="AT96" s="193"/>
      <c r="AU96" s="193">
        <v>875.6</v>
      </c>
      <c r="AV96" s="193"/>
      <c r="AW96" s="193"/>
      <c r="AX96" s="193">
        <v>875.6</v>
      </c>
      <c r="AY96" s="193">
        <v>0.34949999999999998</v>
      </c>
      <c r="AZ96" s="193">
        <v>6.9850000000000003</v>
      </c>
      <c r="BA96" s="193">
        <v>0.17749999999999999</v>
      </c>
      <c r="BB96" s="193">
        <v>3.5650000000000001E-2</v>
      </c>
      <c r="BC96" s="193">
        <v>1.8599999999999998E-2</v>
      </c>
      <c r="BD96" s="193">
        <v>1.7100000000000001E-2</v>
      </c>
    </row>
    <row r="97" spans="1:56">
      <c r="A97" s="195"/>
      <c r="B97" s="196"/>
      <c r="C97" s="191" t="s">
        <v>244</v>
      </c>
      <c r="D97" s="192"/>
      <c r="E97" s="192"/>
      <c r="F97" s="192"/>
      <c r="G97" s="192"/>
      <c r="H97" s="192"/>
      <c r="I97" s="192"/>
      <c r="J97" s="193"/>
      <c r="K97" s="193"/>
      <c r="L97" s="192"/>
      <c r="M97" s="193"/>
      <c r="N97" s="193"/>
      <c r="O97" s="193"/>
      <c r="P97" s="193"/>
      <c r="Q97" s="193"/>
      <c r="R97" s="193"/>
      <c r="S97" s="193"/>
      <c r="T97" s="193"/>
      <c r="U97" s="191"/>
      <c r="V97" s="191" t="s">
        <v>244</v>
      </c>
      <c r="W97" s="193"/>
      <c r="X97" s="193"/>
      <c r="Y97" s="193"/>
      <c r="Z97" s="193"/>
      <c r="AA97" s="193"/>
      <c r="AB97" s="193"/>
      <c r="AC97" s="193"/>
      <c r="AD97" s="193"/>
      <c r="AE97" s="193"/>
      <c r="AF97" s="193"/>
      <c r="AG97" s="193"/>
      <c r="AH97" s="193"/>
      <c r="AI97" s="193"/>
      <c r="AJ97" s="193"/>
      <c r="AK97" s="193"/>
      <c r="AL97" s="191"/>
      <c r="AM97" s="195"/>
      <c r="AN97" s="191"/>
      <c r="AO97" s="191" t="s">
        <v>244</v>
      </c>
      <c r="AP97" s="193"/>
      <c r="AQ97" s="193"/>
      <c r="AR97" s="193"/>
      <c r="AS97" s="193"/>
      <c r="AT97" s="193"/>
      <c r="AU97" s="193"/>
      <c r="AV97" s="193"/>
      <c r="AW97" s="193"/>
      <c r="AX97" s="193"/>
      <c r="AY97" s="193"/>
      <c r="AZ97" s="193"/>
      <c r="BA97" s="193"/>
      <c r="BB97" s="193"/>
      <c r="BC97" s="193"/>
      <c r="BD97" s="193"/>
    </row>
    <row r="98" spans="1:56">
      <c r="A98" s="195"/>
      <c r="B98" s="196" t="s">
        <v>2191</v>
      </c>
      <c r="C98" s="191" t="s">
        <v>23</v>
      </c>
      <c r="D98" s="192">
        <v>599.93570146297304</v>
      </c>
      <c r="E98" s="192"/>
      <c r="F98" s="192"/>
      <c r="G98" s="192"/>
      <c r="H98" s="192"/>
      <c r="I98" s="192">
        <v>13.810164326181024</v>
      </c>
      <c r="J98" s="193"/>
      <c r="K98" s="193"/>
      <c r="L98" s="192">
        <v>42.465346280569406</v>
      </c>
      <c r="M98" s="193">
        <v>7.8387175996798023E-2</v>
      </c>
      <c r="N98" s="193">
        <v>0.21153679705296941</v>
      </c>
      <c r="O98" s="193">
        <v>0.92382912786922511</v>
      </c>
      <c r="P98" s="193">
        <v>5.3799188194441482E-2</v>
      </c>
      <c r="Q98" s="193">
        <v>2.8310708220976987E-2</v>
      </c>
      <c r="R98" s="193">
        <v>0.44450841548706604</v>
      </c>
      <c r="S98" s="193"/>
      <c r="T98" s="193"/>
      <c r="U98" s="191" t="s">
        <v>2191</v>
      </c>
      <c r="V98" s="191" t="s">
        <v>23</v>
      </c>
      <c r="W98" s="193">
        <v>587.17111207014375</v>
      </c>
      <c r="X98" s="193"/>
      <c r="Y98" s="193"/>
      <c r="Z98" s="193"/>
      <c r="AA98" s="193"/>
      <c r="AB98" s="193">
        <v>13.551923148255348</v>
      </c>
      <c r="AC98" s="193"/>
      <c r="AD98" s="193"/>
      <c r="AE98" s="193">
        <v>41.671271656582036</v>
      </c>
      <c r="AF98" s="193">
        <v>2.4044659168890259E-2</v>
      </c>
      <c r="AG98" s="193">
        <v>6.6056786512089752E-2</v>
      </c>
      <c r="AH98" s="193">
        <v>4.4146023950424898E-2</v>
      </c>
      <c r="AI98" s="193">
        <v>1.5282398877544533E-2</v>
      </c>
      <c r="AJ98" s="193">
        <v>6.2243401053211798E-3</v>
      </c>
      <c r="AK98" s="193">
        <v>0.13389745615372217</v>
      </c>
      <c r="AL98" s="191"/>
      <c r="AM98" s="195"/>
      <c r="AN98" s="191" t="s">
        <v>2191</v>
      </c>
      <c r="AO98" s="191" t="s">
        <v>23</v>
      </c>
      <c r="AP98" s="193">
        <v>587.17111207014375</v>
      </c>
      <c r="AQ98" s="193"/>
      <c r="AR98" s="193"/>
      <c r="AS98" s="193"/>
      <c r="AT98" s="193"/>
      <c r="AU98" s="193">
        <v>13.551923148255348</v>
      </c>
      <c r="AV98" s="193"/>
      <c r="AW98" s="193"/>
      <c r="AX98" s="193">
        <v>41.671271656582036</v>
      </c>
      <c r="AY98" s="193">
        <v>2.4044659168890259E-2</v>
      </c>
      <c r="AZ98" s="193">
        <v>6.6056786512089752E-2</v>
      </c>
      <c r="BA98" s="193">
        <v>4.4146023950424898E-2</v>
      </c>
      <c r="BB98" s="193">
        <v>1.5282398877544533E-2</v>
      </c>
      <c r="BC98" s="193">
        <v>6.2243401053211798E-3</v>
      </c>
      <c r="BD98" s="193">
        <v>0.13389745615372217</v>
      </c>
    </row>
    <row r="99" spans="1:56">
      <c r="A99" s="195"/>
      <c r="B99" s="196"/>
      <c r="C99" s="191" t="s">
        <v>24</v>
      </c>
      <c r="D99" s="192">
        <v>3207.1747605623686</v>
      </c>
      <c r="E99" s="192"/>
      <c r="F99" s="192"/>
      <c r="G99" s="192"/>
      <c r="H99" s="192"/>
      <c r="I99" s="192">
        <v>170.98737316496567</v>
      </c>
      <c r="J99" s="193"/>
      <c r="K99" s="193"/>
      <c r="L99" s="192">
        <v>182.02863120542628</v>
      </c>
      <c r="M99" s="193">
        <v>0.55316056250182921</v>
      </c>
      <c r="N99" s="193">
        <v>0.28855999937556548</v>
      </c>
      <c r="O99" s="193">
        <v>1.0820851639610776</v>
      </c>
      <c r="P99" s="193">
        <v>0.25007781961364317</v>
      </c>
      <c r="Q99" s="193">
        <v>0.10765935346690372</v>
      </c>
      <c r="R99" s="193">
        <v>0.97469618913511458</v>
      </c>
      <c r="S99" s="193"/>
      <c r="T99" s="193"/>
      <c r="U99" s="191"/>
      <c r="V99" s="191" t="s">
        <v>24</v>
      </c>
      <c r="W99" s="193">
        <v>3138.9369996993391</v>
      </c>
      <c r="X99" s="193"/>
      <c r="Y99" s="193"/>
      <c r="Z99" s="193"/>
      <c r="AA99" s="193"/>
      <c r="AB99" s="193">
        <v>167.79001941785435</v>
      </c>
      <c r="AC99" s="193"/>
      <c r="AD99" s="193"/>
      <c r="AE99" s="193">
        <v>178.62481304451038</v>
      </c>
      <c r="AF99" s="193">
        <v>0.16967771860503569</v>
      </c>
      <c r="AG99" s="193">
        <v>9.0108891409126646E-2</v>
      </c>
      <c r="AH99" s="193">
        <v>5.1708434085429002E-2</v>
      </c>
      <c r="AI99" s="193">
        <v>7.103804198586755E-2</v>
      </c>
      <c r="AJ99" s="193">
        <v>2.3669786932439821E-2</v>
      </c>
      <c r="AK99" s="193">
        <v>0.29360375574647934</v>
      </c>
      <c r="AL99" s="191"/>
      <c r="AM99" s="195"/>
      <c r="AN99" s="191"/>
      <c r="AO99" s="191" t="s">
        <v>24</v>
      </c>
      <c r="AP99" s="193">
        <v>3138.9369996993391</v>
      </c>
      <c r="AQ99" s="193"/>
      <c r="AR99" s="193"/>
      <c r="AS99" s="193"/>
      <c r="AT99" s="193"/>
      <c r="AU99" s="193">
        <v>167.79001941785435</v>
      </c>
      <c r="AV99" s="193"/>
      <c r="AW99" s="193"/>
      <c r="AX99" s="193">
        <v>178.62481304451038</v>
      </c>
      <c r="AY99" s="193">
        <v>0.16967771860503569</v>
      </c>
      <c r="AZ99" s="193">
        <v>9.0108891409126646E-2</v>
      </c>
      <c r="BA99" s="193">
        <v>5.1708434085429002E-2</v>
      </c>
      <c r="BB99" s="193">
        <v>7.103804198586755E-2</v>
      </c>
      <c r="BC99" s="193">
        <v>2.3669786932439821E-2</v>
      </c>
      <c r="BD99" s="193">
        <v>0.29360375574647934</v>
      </c>
    </row>
    <row r="100" spans="1:56">
      <c r="A100" s="195"/>
      <c r="B100" s="196"/>
      <c r="C100" s="191" t="s">
        <v>243</v>
      </c>
      <c r="D100" s="192">
        <v>13586.956521739132</v>
      </c>
      <c r="E100" s="192"/>
      <c r="F100" s="192"/>
      <c r="G100" s="192"/>
      <c r="H100" s="192"/>
      <c r="I100" s="192">
        <v>962.6</v>
      </c>
      <c r="J100" s="193"/>
      <c r="K100" s="193"/>
      <c r="L100" s="192">
        <v>962.6</v>
      </c>
      <c r="M100" s="193">
        <v>2.4695</v>
      </c>
      <c r="N100" s="193">
        <v>28.645</v>
      </c>
      <c r="O100" s="193">
        <v>4.7084999999999999</v>
      </c>
      <c r="P100" s="193">
        <v>0.1255</v>
      </c>
      <c r="Q100" s="193">
        <v>8.4600000000000009E-2</v>
      </c>
      <c r="R100" s="193">
        <v>5.7099999999999998E-2</v>
      </c>
      <c r="S100" s="193"/>
      <c r="T100" s="193"/>
      <c r="U100" s="191"/>
      <c r="V100" s="191" t="s">
        <v>243</v>
      </c>
      <c r="W100" s="193">
        <v>13297.872340425531</v>
      </c>
      <c r="X100" s="193"/>
      <c r="Y100" s="193"/>
      <c r="Z100" s="193"/>
      <c r="AA100" s="193"/>
      <c r="AB100" s="193">
        <v>944.6</v>
      </c>
      <c r="AC100" s="193"/>
      <c r="AD100" s="193"/>
      <c r="AE100" s="193">
        <v>944.6</v>
      </c>
      <c r="AF100" s="193">
        <v>0.75749999999999995</v>
      </c>
      <c r="AG100" s="193">
        <v>8.9450000000000003</v>
      </c>
      <c r="AH100" s="193">
        <v>0.22500000000000001</v>
      </c>
      <c r="AI100" s="193">
        <v>3.5650000000000001E-2</v>
      </c>
      <c r="AJ100" s="193">
        <v>1.8599999999999998E-2</v>
      </c>
      <c r="AK100" s="193">
        <v>1.72E-2</v>
      </c>
      <c r="AL100" s="191"/>
      <c r="AM100" s="195"/>
      <c r="AN100" s="191"/>
      <c r="AO100" s="191" t="s">
        <v>243</v>
      </c>
      <c r="AP100" s="193">
        <v>13297.872340425531</v>
      </c>
      <c r="AQ100" s="193"/>
      <c r="AR100" s="193"/>
      <c r="AS100" s="193"/>
      <c r="AT100" s="193"/>
      <c r="AU100" s="193">
        <v>944.6</v>
      </c>
      <c r="AV100" s="193"/>
      <c r="AW100" s="193"/>
      <c r="AX100" s="193">
        <v>944.6</v>
      </c>
      <c r="AY100" s="193">
        <v>0.75749999999999995</v>
      </c>
      <c r="AZ100" s="193">
        <v>8.9450000000000003</v>
      </c>
      <c r="BA100" s="193">
        <v>0.22500000000000001</v>
      </c>
      <c r="BB100" s="193">
        <v>3.5650000000000001E-2</v>
      </c>
      <c r="BC100" s="193">
        <v>1.8599999999999998E-2</v>
      </c>
      <c r="BD100" s="193">
        <v>1.72E-2</v>
      </c>
    </row>
    <row r="101" spans="1:56">
      <c r="A101" s="195"/>
      <c r="B101" s="196"/>
      <c r="C101" s="191" t="s">
        <v>244</v>
      </c>
      <c r="D101" s="192"/>
      <c r="E101" s="192"/>
      <c r="F101" s="192"/>
      <c r="G101" s="192"/>
      <c r="H101" s="192"/>
      <c r="I101" s="192"/>
      <c r="J101" s="193"/>
      <c r="K101" s="193"/>
      <c r="L101" s="192"/>
      <c r="M101" s="193"/>
      <c r="N101" s="193"/>
      <c r="O101" s="193"/>
      <c r="P101" s="193"/>
      <c r="Q101" s="193"/>
      <c r="R101" s="193"/>
      <c r="S101" s="193"/>
      <c r="T101" s="193"/>
      <c r="U101" s="191"/>
      <c r="V101" s="191" t="s">
        <v>244</v>
      </c>
      <c r="W101" s="193"/>
      <c r="X101" s="193"/>
      <c r="Y101" s="193"/>
      <c r="Z101" s="193"/>
      <c r="AA101" s="193"/>
      <c r="AB101" s="193"/>
      <c r="AC101" s="193"/>
      <c r="AD101" s="193"/>
      <c r="AE101" s="193"/>
      <c r="AF101" s="193"/>
      <c r="AG101" s="193"/>
      <c r="AH101" s="193"/>
      <c r="AI101" s="193"/>
      <c r="AJ101" s="193"/>
      <c r="AK101" s="193"/>
      <c r="AL101" s="191"/>
      <c r="AM101" s="195"/>
      <c r="AN101" s="191"/>
      <c r="AO101" s="191" t="s">
        <v>244</v>
      </c>
      <c r="AP101" s="193"/>
      <c r="AQ101" s="193"/>
      <c r="AR101" s="193"/>
      <c r="AS101" s="193"/>
      <c r="AT101" s="193"/>
      <c r="AU101" s="193"/>
      <c r="AV101" s="193"/>
      <c r="AW101" s="193"/>
      <c r="AX101" s="193"/>
      <c r="AY101" s="193"/>
      <c r="AZ101" s="193"/>
      <c r="BA101" s="193"/>
      <c r="BB101" s="193"/>
      <c r="BC101" s="193"/>
      <c r="BD101" s="193"/>
    </row>
    <row r="102" spans="1:56">
      <c r="A102" s="195"/>
      <c r="B102" s="196" t="s">
        <v>2192</v>
      </c>
      <c r="C102" s="191" t="s">
        <v>23</v>
      </c>
      <c r="D102" s="192">
        <v>627.20550607492635</v>
      </c>
      <c r="E102" s="192"/>
      <c r="F102" s="192"/>
      <c r="G102" s="192"/>
      <c r="H102" s="192"/>
      <c r="I102" s="192">
        <v>14.417748430911722</v>
      </c>
      <c r="J102" s="193"/>
      <c r="K102" s="193"/>
      <c r="L102" s="192">
        <v>44.333627409784164</v>
      </c>
      <c r="M102" s="193">
        <v>0.16836022736870487</v>
      </c>
      <c r="N102" s="193">
        <v>0.38293735769529513</v>
      </c>
      <c r="O102" s="193">
        <v>1.157018236602914</v>
      </c>
      <c r="P102" s="193">
        <v>4.1474672970615245E-2</v>
      </c>
      <c r="Q102" s="193">
        <v>2.2170028600942377E-2</v>
      </c>
      <c r="R102" s="193">
        <v>0.49666614550043453</v>
      </c>
      <c r="S102" s="193"/>
      <c r="T102" s="193"/>
      <c r="U102" s="191" t="s">
        <v>2192</v>
      </c>
      <c r="V102" s="191" t="s">
        <v>23</v>
      </c>
      <c r="W102" s="193">
        <v>587.17111207014375</v>
      </c>
      <c r="X102" s="193"/>
      <c r="Y102" s="193"/>
      <c r="Z102" s="193"/>
      <c r="AA102" s="193"/>
      <c r="AB102" s="193">
        <v>13.609310076683276</v>
      </c>
      <c r="AC102" s="193"/>
      <c r="AD102" s="193"/>
      <c r="AE102" s="193">
        <v>41.847732684134783</v>
      </c>
      <c r="AF102" s="193">
        <v>2.5980928752127628E-2</v>
      </c>
      <c r="AG102" s="193">
        <v>6.5429080882852458E-2</v>
      </c>
      <c r="AH102" s="193">
        <v>4.0712444309836296E-2</v>
      </c>
      <c r="AI102" s="193">
        <v>1.5989718881694558E-2</v>
      </c>
      <c r="AJ102" s="193">
        <v>6.743035114097946E-3</v>
      </c>
      <c r="AK102" s="193">
        <v>0.15725166362239462</v>
      </c>
      <c r="AL102" s="191"/>
      <c r="AM102" s="195"/>
      <c r="AN102" s="191" t="s">
        <v>2192</v>
      </c>
      <c r="AO102" s="191" t="s">
        <v>23</v>
      </c>
      <c r="AP102" s="193">
        <v>587.17111207014375</v>
      </c>
      <c r="AQ102" s="193"/>
      <c r="AR102" s="193"/>
      <c r="AS102" s="193"/>
      <c r="AT102" s="193"/>
      <c r="AU102" s="193">
        <v>13.609310076683276</v>
      </c>
      <c r="AV102" s="193"/>
      <c r="AW102" s="193"/>
      <c r="AX102" s="193">
        <v>41.847732684134783</v>
      </c>
      <c r="AY102" s="193">
        <v>2.5980928752127628E-2</v>
      </c>
      <c r="AZ102" s="193">
        <v>6.5429080882852458E-2</v>
      </c>
      <c r="BA102" s="193">
        <v>4.0712444309836296E-2</v>
      </c>
      <c r="BB102" s="193">
        <v>1.5989718881694558E-2</v>
      </c>
      <c r="BC102" s="193">
        <v>6.743035114097946E-3</v>
      </c>
      <c r="BD102" s="193">
        <v>0.15725166362239462</v>
      </c>
    </row>
    <row r="103" spans="1:56">
      <c r="A103" s="195"/>
      <c r="B103" s="196"/>
      <c r="C103" s="191" t="s">
        <v>24</v>
      </c>
      <c r="D103" s="192">
        <v>3352.9554314970214</v>
      </c>
      <c r="E103" s="192"/>
      <c r="F103" s="192"/>
      <c r="G103" s="192"/>
      <c r="H103" s="192"/>
      <c r="I103" s="192">
        <v>178.51003600886381</v>
      </c>
      <c r="J103" s="193"/>
      <c r="K103" s="193"/>
      <c r="L103" s="192">
        <v>190.03705893402574</v>
      </c>
      <c r="M103" s="193">
        <v>1.188080025717636</v>
      </c>
      <c r="N103" s="193">
        <v>0.52236965500506005</v>
      </c>
      <c r="O103" s="193">
        <v>1.3552206035634438</v>
      </c>
      <c r="P103" s="193">
        <v>0.19278907607665316</v>
      </c>
      <c r="Q103" s="193">
        <v>8.4307708831942926E-2</v>
      </c>
      <c r="R103" s="193">
        <v>1.0890650939898476</v>
      </c>
      <c r="S103" s="193"/>
      <c r="T103" s="193"/>
      <c r="U103" s="191"/>
      <c r="V103" s="191" t="s">
        <v>24</v>
      </c>
      <c r="W103" s="193">
        <v>3138.9369996993391</v>
      </c>
      <c r="X103" s="193"/>
      <c r="Y103" s="193"/>
      <c r="Z103" s="193"/>
      <c r="AA103" s="193"/>
      <c r="AB103" s="193">
        <v>168.50054247276799</v>
      </c>
      <c r="AC103" s="193"/>
      <c r="AD103" s="193"/>
      <c r="AE103" s="193">
        <v>179.38121708026947</v>
      </c>
      <c r="AF103" s="193">
        <v>0.18334153488874153</v>
      </c>
      <c r="AG103" s="193">
        <v>8.9252630283383108E-2</v>
      </c>
      <c r="AH103" s="193">
        <v>4.7686666989895633E-2</v>
      </c>
      <c r="AI103" s="193">
        <v>7.4325917701903485E-2</v>
      </c>
      <c r="AJ103" s="193">
        <v>2.5642269176809812E-2</v>
      </c>
      <c r="AK103" s="193">
        <v>0.34481371314412107</v>
      </c>
      <c r="AL103" s="191"/>
      <c r="AM103" s="195"/>
      <c r="AN103" s="191"/>
      <c r="AO103" s="191" t="s">
        <v>24</v>
      </c>
      <c r="AP103" s="193">
        <v>3138.9369996993391</v>
      </c>
      <c r="AQ103" s="193"/>
      <c r="AR103" s="193"/>
      <c r="AS103" s="193"/>
      <c r="AT103" s="193"/>
      <c r="AU103" s="193">
        <v>168.50054247276799</v>
      </c>
      <c r="AV103" s="193"/>
      <c r="AW103" s="193"/>
      <c r="AX103" s="193">
        <v>179.38121708026947</v>
      </c>
      <c r="AY103" s="193">
        <v>0.18334153488874153</v>
      </c>
      <c r="AZ103" s="193">
        <v>8.9252630283383108E-2</v>
      </c>
      <c r="BA103" s="193">
        <v>4.7686666989895633E-2</v>
      </c>
      <c r="BB103" s="193">
        <v>7.4325917701903485E-2</v>
      </c>
      <c r="BC103" s="193">
        <v>2.5642269176809812E-2</v>
      </c>
      <c r="BD103" s="193">
        <v>0.34481371314412107</v>
      </c>
    </row>
    <row r="104" spans="1:56">
      <c r="A104" s="195"/>
      <c r="B104" s="196"/>
      <c r="C104" s="191" t="s">
        <v>243</v>
      </c>
      <c r="D104" s="192">
        <v>14204.545454545454</v>
      </c>
      <c r="E104" s="192"/>
      <c r="F104" s="192"/>
      <c r="G104" s="192"/>
      <c r="H104" s="192"/>
      <c r="I104" s="192">
        <v>1004.95</v>
      </c>
      <c r="J104" s="193"/>
      <c r="K104" s="193"/>
      <c r="L104" s="192">
        <v>1004.95</v>
      </c>
      <c r="M104" s="193">
        <v>5.3040000000000003</v>
      </c>
      <c r="N104" s="193">
        <v>51.854999999999997</v>
      </c>
      <c r="O104" s="193">
        <v>5.8970000000000002</v>
      </c>
      <c r="P104" s="193">
        <v>9.6750000000000003E-2</v>
      </c>
      <c r="Q104" s="193">
        <v>6.6250000000000003E-2</v>
      </c>
      <c r="R104" s="193">
        <v>6.3799999999999996E-2</v>
      </c>
      <c r="S104" s="193"/>
      <c r="T104" s="193"/>
      <c r="U104" s="191"/>
      <c r="V104" s="191" t="s">
        <v>243</v>
      </c>
      <c r="W104" s="193">
        <v>13297.872340425531</v>
      </c>
      <c r="X104" s="193"/>
      <c r="Y104" s="193"/>
      <c r="Z104" s="193"/>
      <c r="AA104" s="193"/>
      <c r="AB104" s="193">
        <v>948.6</v>
      </c>
      <c r="AC104" s="193"/>
      <c r="AD104" s="193"/>
      <c r="AE104" s="193">
        <v>948.6</v>
      </c>
      <c r="AF104" s="193">
        <v>0.81850000000000001</v>
      </c>
      <c r="AG104" s="193">
        <v>8.86</v>
      </c>
      <c r="AH104" s="193">
        <v>0.20749999999999999</v>
      </c>
      <c r="AI104" s="193">
        <v>3.73E-2</v>
      </c>
      <c r="AJ104" s="193">
        <v>2.0150000000000001E-2</v>
      </c>
      <c r="AK104" s="193">
        <v>2.0199999999999999E-2</v>
      </c>
      <c r="AL104" s="191"/>
      <c r="AM104" s="195"/>
      <c r="AN104" s="191"/>
      <c r="AO104" s="191" t="s">
        <v>243</v>
      </c>
      <c r="AP104" s="193">
        <v>13297.872340425531</v>
      </c>
      <c r="AQ104" s="193"/>
      <c r="AR104" s="193"/>
      <c r="AS104" s="193"/>
      <c r="AT104" s="193"/>
      <c r="AU104" s="193">
        <v>948.6</v>
      </c>
      <c r="AV104" s="193"/>
      <c r="AW104" s="193"/>
      <c r="AX104" s="193">
        <v>948.6</v>
      </c>
      <c r="AY104" s="193">
        <v>0.81850000000000001</v>
      </c>
      <c r="AZ104" s="193">
        <v>8.86</v>
      </c>
      <c r="BA104" s="193">
        <v>0.20749999999999999</v>
      </c>
      <c r="BB104" s="193">
        <v>3.73E-2</v>
      </c>
      <c r="BC104" s="193">
        <v>2.0150000000000001E-2</v>
      </c>
      <c r="BD104" s="193">
        <v>2.0199999999999999E-2</v>
      </c>
    </row>
    <row r="105" spans="1:56">
      <c r="A105" s="195"/>
      <c r="B105" s="196"/>
      <c r="C105" s="191" t="s">
        <v>244</v>
      </c>
      <c r="D105" s="192"/>
      <c r="E105" s="192"/>
      <c r="F105" s="192"/>
      <c r="G105" s="192"/>
      <c r="H105" s="192"/>
      <c r="I105" s="192"/>
      <c r="J105" s="193"/>
      <c r="K105" s="193"/>
      <c r="L105" s="192"/>
      <c r="M105" s="193"/>
      <c r="N105" s="193"/>
      <c r="O105" s="193"/>
      <c r="P105" s="193"/>
      <c r="Q105" s="193"/>
      <c r="R105" s="193"/>
      <c r="S105" s="193"/>
      <c r="T105" s="193"/>
      <c r="U105" s="191"/>
      <c r="V105" s="191" t="s">
        <v>244</v>
      </c>
      <c r="W105" s="193"/>
      <c r="X105" s="193"/>
      <c r="Y105" s="193"/>
      <c r="Z105" s="193"/>
      <c r="AA105" s="193"/>
      <c r="AB105" s="193"/>
      <c r="AC105" s="193"/>
      <c r="AD105" s="193"/>
      <c r="AE105" s="193"/>
      <c r="AF105" s="193"/>
      <c r="AG105" s="193"/>
      <c r="AH105" s="193"/>
      <c r="AI105" s="193"/>
      <c r="AJ105" s="193"/>
      <c r="AK105" s="193"/>
      <c r="AL105" s="191"/>
      <c r="AM105" s="195"/>
      <c r="AN105" s="191"/>
      <c r="AO105" s="191" t="s">
        <v>244</v>
      </c>
      <c r="AP105" s="193"/>
      <c r="AQ105" s="193"/>
      <c r="AR105" s="193"/>
      <c r="AS105" s="193"/>
      <c r="AT105" s="193"/>
      <c r="AU105" s="193"/>
      <c r="AV105" s="193"/>
      <c r="AW105" s="193"/>
      <c r="AX105" s="193"/>
      <c r="AY105" s="193"/>
      <c r="AZ105" s="193"/>
      <c r="BA105" s="193"/>
      <c r="BB105" s="193"/>
      <c r="BC105" s="193"/>
      <c r="BD105" s="193"/>
    </row>
    <row r="106" spans="1:56">
      <c r="A106" s="195"/>
      <c r="B106" s="196" t="s">
        <v>2193</v>
      </c>
      <c r="C106" s="191" t="s">
        <v>23</v>
      </c>
      <c r="D106" s="192">
        <v>698.65929790624705</v>
      </c>
      <c r="E106" s="192"/>
      <c r="F106" s="192"/>
      <c r="G106" s="192"/>
      <c r="H106" s="192"/>
      <c r="I106" s="192">
        <v>16.128596234669338</v>
      </c>
      <c r="J106" s="193"/>
      <c r="K106" s="193"/>
      <c r="L106" s="192">
        <v>49.594371793700525</v>
      </c>
      <c r="M106" s="193">
        <v>9.8495811750582793E-2</v>
      </c>
      <c r="N106" s="193">
        <v>0.1976534254886621</v>
      </c>
      <c r="O106" s="193">
        <v>1.0587197566066346</v>
      </c>
      <c r="P106" s="193">
        <v>4.0381542055110659E-2</v>
      </c>
      <c r="Q106" s="193">
        <v>2.1634601495108298E-2</v>
      </c>
      <c r="R106" s="193">
        <v>0.49433072475356732</v>
      </c>
      <c r="S106" s="193"/>
      <c r="T106" s="193"/>
      <c r="U106" s="191" t="s">
        <v>2193</v>
      </c>
      <c r="V106" s="191" t="s">
        <v>23</v>
      </c>
      <c r="W106" s="193">
        <v>689.9260566824189</v>
      </c>
      <c r="X106" s="193"/>
      <c r="Y106" s="193"/>
      <c r="Z106" s="193"/>
      <c r="AA106" s="193"/>
      <c r="AB106" s="193">
        <v>15.886136462061344</v>
      </c>
      <c r="AC106" s="193"/>
      <c r="AD106" s="193"/>
      <c r="AE106" s="193">
        <v>48.848823952290154</v>
      </c>
      <c r="AF106" s="193">
        <v>2.8869462064825994E-2</v>
      </c>
      <c r="AG106" s="193">
        <v>7.6432391324776847E-2</v>
      </c>
      <c r="AH106" s="193">
        <v>4.6696683112005005E-2</v>
      </c>
      <c r="AI106" s="193">
        <v>1.5946851002655162E-2</v>
      </c>
      <c r="AJ106" s="193">
        <v>6.6928388229260003E-3</v>
      </c>
      <c r="AK106" s="193">
        <v>0.1541377692932383</v>
      </c>
      <c r="AL106" s="191"/>
      <c r="AM106" s="195"/>
      <c r="AN106" s="191" t="s">
        <v>2193</v>
      </c>
      <c r="AO106" s="191" t="s">
        <v>23</v>
      </c>
      <c r="AP106" s="193">
        <v>689.9260566824189</v>
      </c>
      <c r="AQ106" s="193"/>
      <c r="AR106" s="193"/>
      <c r="AS106" s="193"/>
      <c r="AT106" s="193"/>
      <c r="AU106" s="193">
        <v>15.886136462061344</v>
      </c>
      <c r="AV106" s="193"/>
      <c r="AW106" s="193"/>
      <c r="AX106" s="193">
        <v>48.848823952290154</v>
      </c>
      <c r="AY106" s="193">
        <v>2.8869462064825994E-2</v>
      </c>
      <c r="AZ106" s="193">
        <v>7.6432391324776847E-2</v>
      </c>
      <c r="BA106" s="193">
        <v>4.6696683112005005E-2</v>
      </c>
      <c r="BB106" s="193">
        <v>1.5946851002655162E-2</v>
      </c>
      <c r="BC106" s="193">
        <v>6.6928388229260003E-3</v>
      </c>
      <c r="BD106" s="193">
        <v>0.1541377692932383</v>
      </c>
    </row>
    <row r="107" spans="1:56">
      <c r="A107" s="195"/>
      <c r="B107" s="196"/>
      <c r="C107" s="191" t="s">
        <v>24</v>
      </c>
      <c r="D107" s="192">
        <v>3734.9376958447833</v>
      </c>
      <c r="E107" s="192"/>
      <c r="F107" s="192"/>
      <c r="G107" s="192"/>
      <c r="H107" s="192"/>
      <c r="I107" s="192">
        <v>199.69250458347642</v>
      </c>
      <c r="J107" s="193"/>
      <c r="K107" s="193"/>
      <c r="L107" s="192">
        <v>212.58735425009374</v>
      </c>
      <c r="M107" s="193">
        <v>0.69506265456293814</v>
      </c>
      <c r="N107" s="193">
        <v>0.26962151800617939</v>
      </c>
      <c r="O107" s="193">
        <v>1.2400831569998885</v>
      </c>
      <c r="P107" s="193">
        <v>0.18770781360641581</v>
      </c>
      <c r="Q107" s="193">
        <v>8.2271598128077134E-2</v>
      </c>
      <c r="R107" s="193">
        <v>1.0839440982500836</v>
      </c>
      <c r="S107" s="193"/>
      <c r="T107" s="193"/>
      <c r="U107" s="191"/>
      <c r="V107" s="191" t="s">
        <v>24</v>
      </c>
      <c r="W107" s="193">
        <v>3688.2509746467235</v>
      </c>
      <c r="X107" s="193"/>
      <c r="Y107" s="193"/>
      <c r="Z107" s="193"/>
      <c r="AA107" s="193"/>
      <c r="AB107" s="193">
        <v>196.69054467646635</v>
      </c>
      <c r="AC107" s="193"/>
      <c r="AD107" s="193"/>
      <c r="AE107" s="193">
        <v>209.39154719901157</v>
      </c>
      <c r="AF107" s="193">
        <v>0.20372526082017153</v>
      </c>
      <c r="AG107" s="193">
        <v>0.10426238413465184</v>
      </c>
      <c r="AH107" s="193">
        <v>5.4696032499253783E-2</v>
      </c>
      <c r="AI107" s="193">
        <v>7.4126652506992213E-2</v>
      </c>
      <c r="AJ107" s="193">
        <v>2.5451383798322392E-2</v>
      </c>
      <c r="AK107" s="193">
        <v>0.33798571882443551</v>
      </c>
      <c r="AL107" s="191"/>
      <c r="AM107" s="195"/>
      <c r="AN107" s="191"/>
      <c r="AO107" s="191" t="s">
        <v>24</v>
      </c>
      <c r="AP107" s="193">
        <v>3688.2509746467235</v>
      </c>
      <c r="AQ107" s="193"/>
      <c r="AR107" s="193"/>
      <c r="AS107" s="193"/>
      <c r="AT107" s="193"/>
      <c r="AU107" s="193">
        <v>196.69054467646635</v>
      </c>
      <c r="AV107" s="193"/>
      <c r="AW107" s="193"/>
      <c r="AX107" s="193">
        <v>209.39154719901157</v>
      </c>
      <c r="AY107" s="193">
        <v>0.20372526082017153</v>
      </c>
      <c r="AZ107" s="193">
        <v>0.10426238413465184</v>
      </c>
      <c r="BA107" s="193">
        <v>5.4696032499253783E-2</v>
      </c>
      <c r="BB107" s="193">
        <v>7.4126652506992213E-2</v>
      </c>
      <c r="BC107" s="193">
        <v>2.5451383798322392E-2</v>
      </c>
      <c r="BD107" s="193">
        <v>0.33798571882443551</v>
      </c>
    </row>
    <row r="108" spans="1:56">
      <c r="A108" s="195"/>
      <c r="B108" s="196"/>
      <c r="C108" s="191" t="s">
        <v>243</v>
      </c>
      <c r="D108" s="192">
        <v>15822.784810126581</v>
      </c>
      <c r="E108" s="192"/>
      <c r="F108" s="192"/>
      <c r="G108" s="192"/>
      <c r="H108" s="192"/>
      <c r="I108" s="192">
        <v>1124.2</v>
      </c>
      <c r="J108" s="193"/>
      <c r="K108" s="193"/>
      <c r="L108" s="192">
        <v>1124.2</v>
      </c>
      <c r="M108" s="193">
        <v>3.1029999999999998</v>
      </c>
      <c r="N108" s="193">
        <v>26.765000000000001</v>
      </c>
      <c r="O108" s="193">
        <v>5.3959999999999999</v>
      </c>
      <c r="P108" s="193">
        <v>9.4200000000000006E-2</v>
      </c>
      <c r="Q108" s="193">
        <v>6.4649999999999999E-2</v>
      </c>
      <c r="R108" s="193">
        <v>6.3500000000000001E-2</v>
      </c>
      <c r="S108" s="193"/>
      <c r="T108" s="193"/>
      <c r="U108" s="191"/>
      <c r="V108" s="191" t="s">
        <v>243</v>
      </c>
      <c r="W108" s="193">
        <v>15625</v>
      </c>
      <c r="X108" s="193"/>
      <c r="Y108" s="193"/>
      <c r="Z108" s="193"/>
      <c r="AA108" s="193"/>
      <c r="AB108" s="193">
        <v>1107.3</v>
      </c>
      <c r="AC108" s="193"/>
      <c r="AD108" s="193"/>
      <c r="AE108" s="193">
        <v>1107.3</v>
      </c>
      <c r="AF108" s="193">
        <v>0.90949999999999998</v>
      </c>
      <c r="AG108" s="193">
        <v>10.35</v>
      </c>
      <c r="AH108" s="193">
        <v>0.23799999999999999</v>
      </c>
      <c r="AI108" s="193">
        <v>3.7199999999999997E-2</v>
      </c>
      <c r="AJ108" s="193">
        <v>0.02</v>
      </c>
      <c r="AK108" s="193">
        <v>1.9800000000000002E-2</v>
      </c>
      <c r="AL108" s="191"/>
      <c r="AM108" s="195"/>
      <c r="AN108" s="191"/>
      <c r="AO108" s="191" t="s">
        <v>243</v>
      </c>
      <c r="AP108" s="193">
        <v>15625</v>
      </c>
      <c r="AQ108" s="193"/>
      <c r="AR108" s="193"/>
      <c r="AS108" s="193"/>
      <c r="AT108" s="193"/>
      <c r="AU108" s="193">
        <v>1107.3</v>
      </c>
      <c r="AV108" s="193"/>
      <c r="AW108" s="193"/>
      <c r="AX108" s="193">
        <v>1107.3</v>
      </c>
      <c r="AY108" s="193">
        <v>0.90949999999999998</v>
      </c>
      <c r="AZ108" s="193">
        <v>10.35</v>
      </c>
      <c r="BA108" s="193">
        <v>0.23799999999999999</v>
      </c>
      <c r="BB108" s="193">
        <v>3.7199999999999997E-2</v>
      </c>
      <c r="BC108" s="193">
        <v>0.02</v>
      </c>
      <c r="BD108" s="193">
        <v>1.9800000000000002E-2</v>
      </c>
    </row>
    <row r="109" spans="1:56">
      <c r="A109" s="195"/>
      <c r="B109" s="196"/>
      <c r="C109" s="191" t="s">
        <v>244</v>
      </c>
      <c r="D109" s="192"/>
      <c r="E109" s="192"/>
      <c r="F109" s="192"/>
      <c r="G109" s="192"/>
      <c r="H109" s="192"/>
      <c r="I109" s="192"/>
      <c r="J109" s="193"/>
      <c r="K109" s="193"/>
      <c r="L109" s="192"/>
      <c r="M109" s="193"/>
      <c r="N109" s="193"/>
      <c r="O109" s="193"/>
      <c r="P109" s="193"/>
      <c r="Q109" s="193"/>
      <c r="R109" s="193"/>
      <c r="S109" s="193"/>
      <c r="T109" s="193"/>
      <c r="U109" s="191"/>
      <c r="V109" s="191" t="s">
        <v>244</v>
      </c>
      <c r="W109" s="193"/>
      <c r="X109" s="193"/>
      <c r="Y109" s="193"/>
      <c r="Z109" s="193"/>
      <c r="AA109" s="193"/>
      <c r="AB109" s="193"/>
      <c r="AC109" s="193"/>
      <c r="AD109" s="193"/>
      <c r="AE109" s="193"/>
      <c r="AF109" s="193"/>
      <c r="AG109" s="193"/>
      <c r="AH109" s="193"/>
      <c r="AI109" s="193"/>
      <c r="AJ109" s="193"/>
      <c r="AK109" s="193"/>
      <c r="AL109" s="191"/>
      <c r="AM109" s="195"/>
      <c r="AN109" s="191"/>
      <c r="AO109" s="191" t="s">
        <v>244</v>
      </c>
      <c r="AP109" s="193"/>
      <c r="AQ109" s="193"/>
      <c r="AR109" s="193"/>
      <c r="AS109" s="193"/>
      <c r="AT109" s="193"/>
      <c r="AU109" s="193"/>
      <c r="AV109" s="193"/>
      <c r="AW109" s="193"/>
      <c r="AX109" s="193"/>
      <c r="AY109" s="193"/>
      <c r="AZ109" s="193"/>
      <c r="BA109" s="193"/>
      <c r="BB109" s="193"/>
      <c r="BC109" s="193"/>
      <c r="BD109" s="193"/>
    </row>
    <row r="110" spans="1:56">
      <c r="A110" s="195"/>
      <c r="B110" s="196" t="s">
        <v>2194</v>
      </c>
      <c r="C110" s="191" t="s">
        <v>23</v>
      </c>
      <c r="D110" s="192">
        <v>698.65929790624705</v>
      </c>
      <c r="E110" s="192"/>
      <c r="F110" s="192"/>
      <c r="G110" s="192"/>
      <c r="H110" s="192"/>
      <c r="I110" s="192">
        <v>16.049689208080942</v>
      </c>
      <c r="J110" s="193"/>
      <c r="K110" s="193"/>
      <c r="L110" s="192">
        <v>49.351737880815506</v>
      </c>
      <c r="M110" s="193">
        <v>9.2417194944190095E-2</v>
      </c>
      <c r="N110" s="193">
        <v>0.18410236866924512</v>
      </c>
      <c r="O110" s="193">
        <v>1.0404727333737922</v>
      </c>
      <c r="P110" s="193">
        <v>4.1710446305331918E-2</v>
      </c>
      <c r="Q110" s="193">
        <v>2.2270421183286263E-2</v>
      </c>
      <c r="R110" s="193">
        <v>0.53831448215290034</v>
      </c>
      <c r="S110" s="193"/>
      <c r="T110" s="193"/>
      <c r="U110" s="191" t="s">
        <v>2194</v>
      </c>
      <c r="V110" s="191" t="s">
        <v>23</v>
      </c>
      <c r="W110" s="193">
        <v>681.40845104436437</v>
      </c>
      <c r="X110" s="193"/>
      <c r="Y110" s="193"/>
      <c r="Z110" s="193"/>
      <c r="AA110" s="193"/>
      <c r="AB110" s="193">
        <v>15.633633976978459</v>
      </c>
      <c r="AC110" s="193"/>
      <c r="AD110" s="193"/>
      <c r="AE110" s="193">
        <v>48.072395431058062</v>
      </c>
      <c r="AF110" s="193">
        <v>2.8583782945987693E-2</v>
      </c>
      <c r="AG110" s="193">
        <v>7.5620066392822718E-2</v>
      </c>
      <c r="AH110" s="193">
        <v>4.6304274010223447E-2</v>
      </c>
      <c r="AI110" s="193">
        <v>1.643983161160821E-2</v>
      </c>
      <c r="AJ110" s="193">
        <v>7.0609449581869313E-3</v>
      </c>
      <c r="AK110" s="193">
        <v>0.16892876735673087</v>
      </c>
      <c r="AL110" s="191"/>
      <c r="AM110" s="195"/>
      <c r="AN110" s="191" t="s">
        <v>2194</v>
      </c>
      <c r="AO110" s="191" t="s">
        <v>23</v>
      </c>
      <c r="AP110" s="193">
        <v>681.40845104436437</v>
      </c>
      <c r="AQ110" s="193"/>
      <c r="AR110" s="193"/>
      <c r="AS110" s="193"/>
      <c r="AT110" s="193"/>
      <c r="AU110" s="193">
        <v>15.633633976978459</v>
      </c>
      <c r="AV110" s="193"/>
      <c r="AW110" s="193"/>
      <c r="AX110" s="193">
        <v>48.072395431058062</v>
      </c>
      <c r="AY110" s="193">
        <v>2.8583782945987693E-2</v>
      </c>
      <c r="AZ110" s="193">
        <v>7.5620066392822718E-2</v>
      </c>
      <c r="BA110" s="193">
        <v>4.6304274010223447E-2</v>
      </c>
      <c r="BB110" s="193">
        <v>1.643983161160821E-2</v>
      </c>
      <c r="BC110" s="193">
        <v>7.0609449581869313E-3</v>
      </c>
      <c r="BD110" s="193">
        <v>0.16892876735673087</v>
      </c>
    </row>
    <row r="111" spans="1:56">
      <c r="A111" s="195"/>
      <c r="B111" s="196"/>
      <c r="C111" s="191" t="s">
        <v>24</v>
      </c>
      <c r="D111" s="192">
        <v>3734.9376958447833</v>
      </c>
      <c r="E111" s="192"/>
      <c r="F111" s="192"/>
      <c r="G111" s="192"/>
      <c r="H111" s="192"/>
      <c r="I111" s="192">
        <v>198.71553538297022</v>
      </c>
      <c r="J111" s="193"/>
      <c r="K111" s="193"/>
      <c r="L111" s="192">
        <v>211.54729870092501</v>
      </c>
      <c r="M111" s="193">
        <v>0.65216723131163223</v>
      </c>
      <c r="N111" s="193">
        <v>0.25113635135042228</v>
      </c>
      <c r="O111" s="193">
        <v>1.2187103375779111</v>
      </c>
      <c r="P111" s="193">
        <v>0.19388503464866516</v>
      </c>
      <c r="Q111" s="193">
        <v>8.4689479588917746E-2</v>
      </c>
      <c r="R111" s="193">
        <v>1.1803895180156421</v>
      </c>
      <c r="S111" s="193"/>
      <c r="T111" s="193"/>
      <c r="U111" s="191"/>
      <c r="V111" s="191" t="s">
        <v>24</v>
      </c>
      <c r="W111" s="193">
        <v>3642.7170119967641</v>
      </c>
      <c r="X111" s="193"/>
      <c r="Y111" s="193"/>
      <c r="Z111" s="193"/>
      <c r="AA111" s="193"/>
      <c r="AB111" s="193">
        <v>193.56424323484637</v>
      </c>
      <c r="AC111" s="193"/>
      <c r="AD111" s="193"/>
      <c r="AE111" s="193">
        <v>206.06336944167157</v>
      </c>
      <c r="AF111" s="193">
        <v>0.2017092879258543</v>
      </c>
      <c r="AG111" s="193">
        <v>0.10315428150133671</v>
      </c>
      <c r="AH111" s="193">
        <v>5.4236401974049969E-2</v>
      </c>
      <c r="AI111" s="193">
        <v>7.6418202248471803E-2</v>
      </c>
      <c r="AJ111" s="193">
        <v>2.6851209907230125E-2</v>
      </c>
      <c r="AK111" s="193">
        <v>0.37041869184294196</v>
      </c>
      <c r="AL111" s="191"/>
      <c r="AM111" s="195"/>
      <c r="AN111" s="191"/>
      <c r="AO111" s="191" t="s">
        <v>24</v>
      </c>
      <c r="AP111" s="193">
        <v>3642.7170119967641</v>
      </c>
      <c r="AQ111" s="193"/>
      <c r="AR111" s="193"/>
      <c r="AS111" s="193"/>
      <c r="AT111" s="193"/>
      <c r="AU111" s="193">
        <v>193.56424323484637</v>
      </c>
      <c r="AV111" s="193"/>
      <c r="AW111" s="193"/>
      <c r="AX111" s="193">
        <v>206.06336944167157</v>
      </c>
      <c r="AY111" s="193">
        <v>0.2017092879258543</v>
      </c>
      <c r="AZ111" s="193">
        <v>0.10315428150133671</v>
      </c>
      <c r="BA111" s="193">
        <v>5.4236401974049969E-2</v>
      </c>
      <c r="BB111" s="193">
        <v>7.6418202248471803E-2</v>
      </c>
      <c r="BC111" s="193">
        <v>2.6851209907230125E-2</v>
      </c>
      <c r="BD111" s="193">
        <v>0.37041869184294196</v>
      </c>
    </row>
    <row r="112" spans="1:56">
      <c r="A112" s="195"/>
      <c r="B112" s="196"/>
      <c r="C112" s="191" t="s">
        <v>243</v>
      </c>
      <c r="D112" s="192">
        <v>15822.784810126581</v>
      </c>
      <c r="E112" s="192"/>
      <c r="F112" s="192"/>
      <c r="G112" s="192"/>
      <c r="H112" s="192"/>
      <c r="I112" s="192">
        <v>1118.7</v>
      </c>
      <c r="J112" s="193"/>
      <c r="K112" s="193"/>
      <c r="L112" s="192">
        <v>1118.7</v>
      </c>
      <c r="M112" s="193">
        <v>2.9115000000000002</v>
      </c>
      <c r="N112" s="193">
        <v>24.93</v>
      </c>
      <c r="O112" s="193">
        <v>5.3029999999999999</v>
      </c>
      <c r="P112" s="193">
        <v>9.7299999999999998E-2</v>
      </c>
      <c r="Q112" s="193">
        <v>6.6549999999999998E-2</v>
      </c>
      <c r="R112" s="193">
        <v>6.9149999999999989E-2</v>
      </c>
      <c r="S112" s="193"/>
      <c r="T112" s="193"/>
      <c r="U112" s="191"/>
      <c r="V112" s="191" t="s">
        <v>243</v>
      </c>
      <c r="W112" s="193">
        <v>15432.0987654321</v>
      </c>
      <c r="X112" s="193"/>
      <c r="Y112" s="193"/>
      <c r="Z112" s="193"/>
      <c r="AA112" s="193"/>
      <c r="AB112" s="193">
        <v>1089.7</v>
      </c>
      <c r="AC112" s="193"/>
      <c r="AD112" s="193"/>
      <c r="AE112" s="193">
        <v>1089.7</v>
      </c>
      <c r="AF112" s="193">
        <v>0.90050000000000008</v>
      </c>
      <c r="AG112" s="193">
        <v>10.24</v>
      </c>
      <c r="AH112" s="193">
        <v>0.23599999999999999</v>
      </c>
      <c r="AI112" s="193">
        <v>3.8349999999999995E-2</v>
      </c>
      <c r="AJ112" s="193">
        <v>2.1100000000000001E-2</v>
      </c>
      <c r="AK112" s="193">
        <v>2.1700000000000001E-2</v>
      </c>
      <c r="AL112" s="191"/>
      <c r="AM112" s="195"/>
      <c r="AN112" s="191"/>
      <c r="AO112" s="191" t="s">
        <v>243</v>
      </c>
      <c r="AP112" s="193">
        <v>15432.0987654321</v>
      </c>
      <c r="AQ112" s="193"/>
      <c r="AR112" s="193"/>
      <c r="AS112" s="193"/>
      <c r="AT112" s="193"/>
      <c r="AU112" s="193">
        <v>1089.7</v>
      </c>
      <c r="AV112" s="193"/>
      <c r="AW112" s="193"/>
      <c r="AX112" s="193">
        <v>1089.7</v>
      </c>
      <c r="AY112" s="193">
        <v>0.90050000000000008</v>
      </c>
      <c r="AZ112" s="193">
        <v>10.24</v>
      </c>
      <c r="BA112" s="193">
        <v>0.23599999999999999</v>
      </c>
      <c r="BB112" s="193">
        <v>3.8349999999999995E-2</v>
      </c>
      <c r="BC112" s="193">
        <v>2.1100000000000001E-2</v>
      </c>
      <c r="BD112" s="193">
        <v>2.1700000000000001E-2</v>
      </c>
    </row>
    <row r="113" spans="1:56">
      <c r="A113" s="195"/>
      <c r="B113" s="196"/>
      <c r="C113" s="191" t="s">
        <v>244</v>
      </c>
      <c r="D113" s="192"/>
      <c r="E113" s="192"/>
      <c r="F113" s="192"/>
      <c r="G113" s="192"/>
      <c r="H113" s="192"/>
      <c r="I113" s="192"/>
      <c r="J113" s="193"/>
      <c r="K113" s="193"/>
      <c r="L113" s="192"/>
      <c r="M113" s="193"/>
      <c r="N113" s="193"/>
      <c r="O113" s="193"/>
      <c r="P113" s="193"/>
      <c r="Q113" s="193"/>
      <c r="R113" s="193"/>
      <c r="S113" s="193"/>
      <c r="T113" s="193"/>
      <c r="U113" s="191"/>
      <c r="V113" s="191" t="s">
        <v>244</v>
      </c>
      <c r="W113" s="193"/>
      <c r="X113" s="193"/>
      <c r="Y113" s="193"/>
      <c r="Z113" s="193"/>
      <c r="AA113" s="193"/>
      <c r="AB113" s="193"/>
      <c r="AC113" s="193"/>
      <c r="AD113" s="193"/>
      <c r="AE113" s="193"/>
      <c r="AF113" s="193"/>
      <c r="AG113" s="193"/>
      <c r="AH113" s="193"/>
      <c r="AI113" s="193"/>
      <c r="AJ113" s="193"/>
      <c r="AK113" s="193"/>
      <c r="AL113" s="191"/>
      <c r="AM113" s="195"/>
      <c r="AN113" s="191"/>
      <c r="AO113" s="191" t="s">
        <v>244</v>
      </c>
      <c r="AP113" s="193"/>
      <c r="AQ113" s="193"/>
      <c r="AR113" s="193"/>
      <c r="AS113" s="193"/>
      <c r="AT113" s="193"/>
      <c r="AU113" s="193"/>
      <c r="AV113" s="193"/>
      <c r="AW113" s="193"/>
      <c r="AX113" s="193"/>
      <c r="AY113" s="193"/>
      <c r="AZ113" s="193"/>
      <c r="BA113" s="193"/>
      <c r="BB113" s="193"/>
      <c r="BC113" s="193"/>
      <c r="BD113" s="193"/>
    </row>
    <row r="114" spans="1:56">
      <c r="A114" s="195"/>
      <c r="B114" s="196" t="s">
        <v>2195</v>
      </c>
      <c r="C114" s="191" t="s">
        <v>23</v>
      </c>
      <c r="D114" s="192">
        <v>756.08334978895221</v>
      </c>
      <c r="E114" s="192"/>
      <c r="F114" s="192"/>
      <c r="G114" s="192"/>
      <c r="H114" s="192"/>
      <c r="I114" s="192">
        <v>17.46284232061868</v>
      </c>
      <c r="J114" s="193"/>
      <c r="K114" s="193"/>
      <c r="L114" s="192">
        <v>53.697090684301976</v>
      </c>
      <c r="M114" s="193">
        <v>0.10890722852602308</v>
      </c>
      <c r="N114" s="193">
        <v>0.24299592623592101</v>
      </c>
      <c r="O114" s="193">
        <v>1.1952781240266157</v>
      </c>
      <c r="P114" s="193">
        <v>5.3777754254921789E-2</v>
      </c>
      <c r="Q114" s="193">
        <v>2.5064681391857867E-2</v>
      </c>
      <c r="R114" s="193">
        <v>0.57373503014705374</v>
      </c>
      <c r="S114" s="193"/>
      <c r="T114" s="193"/>
      <c r="U114" s="191" t="s">
        <v>2195</v>
      </c>
      <c r="V114" s="191" t="s">
        <v>23</v>
      </c>
      <c r="W114" s="193">
        <v>740.89356717607507</v>
      </c>
      <c r="X114" s="193"/>
      <c r="Y114" s="193"/>
      <c r="Z114" s="193"/>
      <c r="AA114" s="193"/>
      <c r="AB114" s="193">
        <v>17.081219246572957</v>
      </c>
      <c r="AC114" s="193"/>
      <c r="AD114" s="193"/>
      <c r="AE114" s="193">
        <v>52.523624851076185</v>
      </c>
      <c r="AF114" s="193">
        <v>3.0297857659017491E-2</v>
      </c>
      <c r="AG114" s="193">
        <v>8.3447924828017245E-2</v>
      </c>
      <c r="AH114" s="193">
        <v>5.258281963872833E-2</v>
      </c>
      <c r="AI114" s="193">
        <v>2.7092499552898022E-2</v>
      </c>
      <c r="AJ114" s="193">
        <v>9.3197780609244555E-3</v>
      </c>
      <c r="AK114" s="193">
        <v>0.17827045034419986</v>
      </c>
      <c r="AL114" s="191"/>
      <c r="AM114" s="195"/>
      <c r="AN114" s="191" t="s">
        <v>2195</v>
      </c>
      <c r="AO114" s="191" t="s">
        <v>23</v>
      </c>
      <c r="AP114" s="193">
        <v>740.89356717607507</v>
      </c>
      <c r="AQ114" s="193"/>
      <c r="AR114" s="193"/>
      <c r="AS114" s="193"/>
      <c r="AT114" s="193"/>
      <c r="AU114" s="193">
        <v>17.081219246572957</v>
      </c>
      <c r="AV114" s="193"/>
      <c r="AW114" s="193"/>
      <c r="AX114" s="193">
        <v>52.523624851076185</v>
      </c>
      <c r="AY114" s="193">
        <v>3.0297857659017491E-2</v>
      </c>
      <c r="AZ114" s="193">
        <v>8.3447924828017245E-2</v>
      </c>
      <c r="BA114" s="193">
        <v>5.258281963872833E-2</v>
      </c>
      <c r="BB114" s="193">
        <v>2.7092499552898022E-2</v>
      </c>
      <c r="BC114" s="193">
        <v>9.3197780609244555E-3</v>
      </c>
      <c r="BD114" s="193">
        <v>0.17827045034419986</v>
      </c>
    </row>
    <row r="115" spans="1:56">
      <c r="A115" s="195"/>
      <c r="B115" s="196"/>
      <c r="C115" s="191" t="s">
        <v>24</v>
      </c>
      <c r="D115" s="192">
        <v>4041.9188763251759</v>
      </c>
      <c r="E115" s="192"/>
      <c r="F115" s="192"/>
      <c r="G115" s="192"/>
      <c r="H115" s="192"/>
      <c r="I115" s="192">
        <v>216.21216561021839</v>
      </c>
      <c r="J115" s="193"/>
      <c r="K115" s="193"/>
      <c r="L115" s="192">
        <v>230.1737480814927</v>
      </c>
      <c r="M115" s="193">
        <v>0.76853366671138934</v>
      </c>
      <c r="N115" s="193">
        <v>0.33147379226576995</v>
      </c>
      <c r="O115" s="193">
        <v>1.4000345797708156</v>
      </c>
      <c r="P115" s="193">
        <v>0.24997818701618751</v>
      </c>
      <c r="Q115" s="193">
        <v>9.5315432324717342E-2</v>
      </c>
      <c r="R115" s="193">
        <v>1.2580579534020655</v>
      </c>
      <c r="S115" s="193"/>
      <c r="T115" s="193"/>
      <c r="U115" s="191"/>
      <c r="V115" s="191" t="s">
        <v>24</v>
      </c>
      <c r="W115" s="193">
        <v>3960.7163619629678</v>
      </c>
      <c r="X115" s="193"/>
      <c r="Y115" s="193"/>
      <c r="Z115" s="193"/>
      <c r="AA115" s="193"/>
      <c r="AB115" s="193">
        <v>211.48718729504276</v>
      </c>
      <c r="AC115" s="193"/>
      <c r="AD115" s="193"/>
      <c r="AE115" s="193">
        <v>225.14366124369471</v>
      </c>
      <c r="AF115" s="193">
        <v>0.2138051252917578</v>
      </c>
      <c r="AG115" s="193">
        <v>0.11383236142237352</v>
      </c>
      <c r="AH115" s="193">
        <v>6.1590490377310993E-2</v>
      </c>
      <c r="AI115" s="193">
        <v>0.1259356031839223</v>
      </c>
      <c r="AJ115" s="193">
        <v>3.5441051939163928E-2</v>
      </c>
      <c r="AK115" s="193">
        <v>0.3909026748019987</v>
      </c>
      <c r="AL115" s="191"/>
      <c r="AM115" s="195"/>
      <c r="AN115" s="191"/>
      <c r="AO115" s="191" t="s">
        <v>24</v>
      </c>
      <c r="AP115" s="193">
        <v>3960.7163619629678</v>
      </c>
      <c r="AQ115" s="193"/>
      <c r="AR115" s="193"/>
      <c r="AS115" s="193"/>
      <c r="AT115" s="193"/>
      <c r="AU115" s="193">
        <v>211.48718729504276</v>
      </c>
      <c r="AV115" s="193"/>
      <c r="AW115" s="193"/>
      <c r="AX115" s="193">
        <v>225.14366124369471</v>
      </c>
      <c r="AY115" s="193">
        <v>0.2138051252917578</v>
      </c>
      <c r="AZ115" s="193">
        <v>0.11383236142237352</v>
      </c>
      <c r="BA115" s="193">
        <v>6.1590490377310993E-2</v>
      </c>
      <c r="BB115" s="193">
        <v>0.1259356031839223</v>
      </c>
      <c r="BC115" s="193">
        <v>3.5441051939163928E-2</v>
      </c>
      <c r="BD115" s="193">
        <v>0.3909026748019987</v>
      </c>
    </row>
    <row r="116" spans="1:56">
      <c r="A116" s="195"/>
      <c r="B116" s="196"/>
      <c r="C116" s="191" t="s">
        <v>243</v>
      </c>
      <c r="D116" s="192">
        <v>17123.287671232876</v>
      </c>
      <c r="E116" s="192"/>
      <c r="F116" s="192"/>
      <c r="G116" s="192"/>
      <c r="H116" s="192"/>
      <c r="I116" s="192">
        <v>1217.2</v>
      </c>
      <c r="J116" s="193"/>
      <c r="K116" s="193"/>
      <c r="L116" s="192">
        <v>1217.2</v>
      </c>
      <c r="M116" s="193">
        <v>3.431</v>
      </c>
      <c r="N116" s="193">
        <v>32.905000000000001</v>
      </c>
      <c r="O116" s="193">
        <v>6.0920000000000005</v>
      </c>
      <c r="P116" s="193">
        <v>0.12545000000000001</v>
      </c>
      <c r="Q116" s="193">
        <v>7.4899999999999994E-2</v>
      </c>
      <c r="R116" s="193">
        <v>7.3700000000000002E-2</v>
      </c>
      <c r="S116" s="193"/>
      <c r="T116" s="193"/>
      <c r="U116" s="191"/>
      <c r="V116" s="191" t="s">
        <v>243</v>
      </c>
      <c r="W116" s="193">
        <v>16779.279279279279</v>
      </c>
      <c r="X116" s="193"/>
      <c r="Y116" s="193"/>
      <c r="Z116" s="193"/>
      <c r="AA116" s="193"/>
      <c r="AB116" s="193">
        <v>1190.5999999999999</v>
      </c>
      <c r="AC116" s="193"/>
      <c r="AD116" s="193"/>
      <c r="AE116" s="193">
        <v>1190.5999999999999</v>
      </c>
      <c r="AF116" s="193">
        <v>0.9544999999999999</v>
      </c>
      <c r="AG116" s="193">
        <v>11.3</v>
      </c>
      <c r="AH116" s="193">
        <v>0.26800000000000002</v>
      </c>
      <c r="AI116" s="193">
        <v>6.3200000000000006E-2</v>
      </c>
      <c r="AJ116" s="193">
        <v>2.785E-2</v>
      </c>
      <c r="AK116" s="193">
        <v>2.29E-2</v>
      </c>
      <c r="AL116" s="191"/>
      <c r="AM116" s="195"/>
      <c r="AN116" s="191"/>
      <c r="AO116" s="191" t="s">
        <v>243</v>
      </c>
      <c r="AP116" s="193">
        <v>16779.279279279279</v>
      </c>
      <c r="AQ116" s="193"/>
      <c r="AR116" s="193"/>
      <c r="AS116" s="193"/>
      <c r="AT116" s="193"/>
      <c r="AU116" s="193">
        <v>1190.5999999999999</v>
      </c>
      <c r="AV116" s="193"/>
      <c r="AW116" s="193"/>
      <c r="AX116" s="193">
        <v>1190.5999999999999</v>
      </c>
      <c r="AY116" s="193">
        <v>0.9544999999999999</v>
      </c>
      <c r="AZ116" s="193">
        <v>11.3</v>
      </c>
      <c r="BA116" s="193">
        <v>0.26800000000000002</v>
      </c>
      <c r="BB116" s="193">
        <v>6.3200000000000006E-2</v>
      </c>
      <c r="BC116" s="193">
        <v>2.785E-2</v>
      </c>
      <c r="BD116" s="193">
        <v>2.29E-2</v>
      </c>
    </row>
    <row r="117" spans="1:56">
      <c r="A117" s="195"/>
      <c r="B117" s="196"/>
      <c r="C117" s="191" t="s">
        <v>244</v>
      </c>
      <c r="D117" s="192"/>
      <c r="E117" s="192"/>
      <c r="F117" s="192"/>
      <c r="G117" s="192"/>
      <c r="H117" s="192"/>
      <c r="I117" s="192"/>
      <c r="J117" s="193"/>
      <c r="K117" s="193"/>
      <c r="L117" s="192"/>
      <c r="M117" s="193"/>
      <c r="N117" s="193"/>
      <c r="O117" s="193"/>
      <c r="P117" s="193"/>
      <c r="Q117" s="193"/>
      <c r="R117" s="193"/>
      <c r="S117" s="193"/>
      <c r="T117" s="193"/>
      <c r="U117" s="191"/>
      <c r="V117" s="191" t="s">
        <v>244</v>
      </c>
      <c r="W117" s="193"/>
      <c r="X117" s="193"/>
      <c r="Y117" s="193"/>
      <c r="Z117" s="193"/>
      <c r="AA117" s="193"/>
      <c r="AB117" s="193"/>
      <c r="AC117" s="193"/>
      <c r="AD117" s="193"/>
      <c r="AE117" s="193"/>
      <c r="AF117" s="193"/>
      <c r="AG117" s="193"/>
      <c r="AH117" s="193"/>
      <c r="AI117" s="193"/>
      <c r="AJ117" s="193"/>
      <c r="AK117" s="193"/>
      <c r="AL117" s="191"/>
      <c r="AM117" s="195"/>
      <c r="AN117" s="191"/>
      <c r="AO117" s="191" t="s">
        <v>244</v>
      </c>
      <c r="AP117" s="193"/>
      <c r="AQ117" s="193"/>
      <c r="AR117" s="193"/>
      <c r="AS117" s="193"/>
      <c r="AT117" s="193"/>
      <c r="AU117" s="193"/>
      <c r="AV117" s="193"/>
      <c r="AW117" s="193"/>
      <c r="AX117" s="193"/>
      <c r="AY117" s="193"/>
      <c r="AZ117" s="193"/>
      <c r="BA117" s="193"/>
      <c r="BB117" s="193"/>
      <c r="BC117" s="193"/>
      <c r="BD117" s="193"/>
    </row>
    <row r="118" spans="1:56">
      <c r="A118" s="195"/>
      <c r="B118" s="196" t="s">
        <v>2196</v>
      </c>
      <c r="C118" s="191" t="s">
        <v>23</v>
      </c>
      <c r="D118" s="192">
        <v>811.6777137440223</v>
      </c>
      <c r="E118" s="192"/>
      <c r="F118" s="192"/>
      <c r="G118" s="192"/>
      <c r="H118" s="192"/>
      <c r="I118" s="192">
        <v>18.59766883028097</v>
      </c>
      <c r="J118" s="193"/>
      <c r="K118" s="193"/>
      <c r="L118" s="192">
        <v>57.186607504157621</v>
      </c>
      <c r="M118" s="193">
        <v>0.12852386135291965</v>
      </c>
      <c r="N118" s="193">
        <v>0.27685510635419169</v>
      </c>
      <c r="O118" s="193">
        <v>1.3328175142010505</v>
      </c>
      <c r="P118" s="193">
        <v>0</v>
      </c>
      <c r="Q118" s="193">
        <v>0</v>
      </c>
      <c r="R118" s="193">
        <v>0</v>
      </c>
      <c r="S118" s="193"/>
      <c r="T118" s="193"/>
      <c r="U118" s="191" t="s">
        <v>2196</v>
      </c>
      <c r="V118" s="191" t="s">
        <v>23</v>
      </c>
      <c r="W118" s="193">
        <v>777.38147231821847</v>
      </c>
      <c r="X118" s="193"/>
      <c r="Y118" s="193"/>
      <c r="Z118" s="193"/>
      <c r="AA118" s="193"/>
      <c r="AB118" s="193">
        <v>17.999410101419816</v>
      </c>
      <c r="AC118" s="193"/>
      <c r="AD118" s="193"/>
      <c r="AE118" s="193">
        <v>55.347001291920193</v>
      </c>
      <c r="AF118" s="193">
        <v>3.1599284755947532E-2</v>
      </c>
      <c r="AG118" s="193">
        <v>8.8875732327892698E-2</v>
      </c>
      <c r="AH118" s="193">
        <v>5.5722092452980751E-2</v>
      </c>
      <c r="AI118" s="193">
        <v>0</v>
      </c>
      <c r="AJ118" s="193">
        <v>0</v>
      </c>
      <c r="AK118" s="193">
        <v>0</v>
      </c>
      <c r="AL118" s="191"/>
      <c r="AM118" s="195"/>
      <c r="AN118" s="191" t="s">
        <v>2196</v>
      </c>
      <c r="AO118" s="191" t="s">
        <v>23</v>
      </c>
      <c r="AP118" s="193">
        <v>777.38147231821847</v>
      </c>
      <c r="AQ118" s="193"/>
      <c r="AR118" s="193"/>
      <c r="AS118" s="193"/>
      <c r="AT118" s="193"/>
      <c r="AU118" s="193">
        <v>17.999410101419816</v>
      </c>
      <c r="AV118" s="193"/>
      <c r="AW118" s="193"/>
      <c r="AX118" s="193">
        <v>55.347001291920193</v>
      </c>
      <c r="AY118" s="193">
        <v>3.1599284755947532E-2</v>
      </c>
      <c r="AZ118" s="193">
        <v>8.8875732327892698E-2</v>
      </c>
      <c r="BA118" s="193">
        <v>5.5722092452980751E-2</v>
      </c>
      <c r="BB118" s="193">
        <v>0</v>
      </c>
      <c r="BC118" s="193">
        <v>0</v>
      </c>
      <c r="BD118" s="193">
        <v>0</v>
      </c>
    </row>
    <row r="119" spans="1:56">
      <c r="A119" s="195"/>
      <c r="B119" s="196"/>
      <c r="C119" s="191" t="s">
        <v>24</v>
      </c>
      <c r="D119" s="192">
        <v>4339.1187937020277</v>
      </c>
      <c r="E119" s="192"/>
      <c r="F119" s="192"/>
      <c r="G119" s="192"/>
      <c r="H119" s="192"/>
      <c r="I119" s="192">
        <v>230.26275902113548</v>
      </c>
      <c r="J119" s="193"/>
      <c r="K119" s="193"/>
      <c r="L119" s="192">
        <v>245.13163788862883</v>
      </c>
      <c r="M119" s="193">
        <v>0.9069638054545075</v>
      </c>
      <c r="N119" s="193">
        <v>0.37766152475440551</v>
      </c>
      <c r="O119" s="193">
        <v>1.561135078854752</v>
      </c>
      <c r="P119" s="193">
        <v>0</v>
      </c>
      <c r="Q119" s="193">
        <v>0</v>
      </c>
      <c r="R119" s="193">
        <v>0</v>
      </c>
      <c r="S119" s="193"/>
      <c r="T119" s="193"/>
      <c r="U119" s="191"/>
      <c r="V119" s="191" t="s">
        <v>24</v>
      </c>
      <c r="W119" s="193">
        <v>4155.7757460808152</v>
      </c>
      <c r="X119" s="193"/>
      <c r="Y119" s="193"/>
      <c r="Z119" s="193"/>
      <c r="AA119" s="193"/>
      <c r="AB119" s="193">
        <v>222.85555617366089</v>
      </c>
      <c r="AC119" s="193"/>
      <c r="AD119" s="193"/>
      <c r="AE119" s="193">
        <v>237.24612581584026</v>
      </c>
      <c r="AF119" s="193">
        <v>0.22298900181031422</v>
      </c>
      <c r="AG119" s="193">
        <v>0.12123650174497921</v>
      </c>
      <c r="AH119" s="193">
        <v>6.526753457894148E-2</v>
      </c>
      <c r="AI119" s="193">
        <v>0</v>
      </c>
      <c r="AJ119" s="193">
        <v>0</v>
      </c>
      <c r="AK119" s="193">
        <v>0</v>
      </c>
      <c r="AL119" s="191"/>
      <c r="AM119" s="195"/>
      <c r="AN119" s="191"/>
      <c r="AO119" s="191" t="s">
        <v>24</v>
      </c>
      <c r="AP119" s="193">
        <v>4155.7757460808152</v>
      </c>
      <c r="AQ119" s="193"/>
      <c r="AR119" s="193"/>
      <c r="AS119" s="193"/>
      <c r="AT119" s="193"/>
      <c r="AU119" s="193">
        <v>222.85555617366089</v>
      </c>
      <c r="AV119" s="193"/>
      <c r="AW119" s="193"/>
      <c r="AX119" s="193">
        <v>237.24612581584026</v>
      </c>
      <c r="AY119" s="193">
        <v>0.22298900181031422</v>
      </c>
      <c r="AZ119" s="193">
        <v>0.12123650174497921</v>
      </c>
      <c r="BA119" s="193">
        <v>6.526753457894148E-2</v>
      </c>
      <c r="BB119" s="193">
        <v>0</v>
      </c>
      <c r="BC119" s="193">
        <v>0</v>
      </c>
      <c r="BD119" s="193">
        <v>0</v>
      </c>
    </row>
    <row r="120" spans="1:56">
      <c r="A120" s="195"/>
      <c r="B120" s="196"/>
      <c r="C120" s="191" t="s">
        <v>243</v>
      </c>
      <c r="D120" s="192">
        <v>18382.352941176472</v>
      </c>
      <c r="E120" s="192"/>
      <c r="F120" s="192"/>
      <c r="G120" s="192"/>
      <c r="H120" s="192"/>
      <c r="I120" s="192">
        <v>1296.3</v>
      </c>
      <c r="J120" s="193"/>
      <c r="K120" s="193"/>
      <c r="L120" s="192">
        <v>1296.3</v>
      </c>
      <c r="M120" s="193">
        <v>4.0489999999999995</v>
      </c>
      <c r="N120" s="193">
        <v>37.49</v>
      </c>
      <c r="O120" s="193">
        <v>6.7930000000000001</v>
      </c>
      <c r="P120" s="193">
        <v>0</v>
      </c>
      <c r="Q120" s="193">
        <v>0</v>
      </c>
      <c r="R120" s="193">
        <v>0</v>
      </c>
      <c r="S120" s="193"/>
      <c r="T120" s="193"/>
      <c r="U120" s="191"/>
      <c r="V120" s="191" t="s">
        <v>243</v>
      </c>
      <c r="W120" s="193">
        <v>17605.633802816901</v>
      </c>
      <c r="X120" s="193"/>
      <c r="Y120" s="193"/>
      <c r="Z120" s="193"/>
      <c r="AA120" s="193"/>
      <c r="AB120" s="193">
        <v>1254.5999999999999</v>
      </c>
      <c r="AC120" s="193"/>
      <c r="AD120" s="193"/>
      <c r="AE120" s="193">
        <v>1254.5999999999999</v>
      </c>
      <c r="AF120" s="193">
        <v>0.99550000000000005</v>
      </c>
      <c r="AG120" s="193">
        <v>12.035</v>
      </c>
      <c r="AH120" s="193">
        <v>0.28399999999999997</v>
      </c>
      <c r="AI120" s="193">
        <v>0</v>
      </c>
      <c r="AJ120" s="193">
        <v>0</v>
      </c>
      <c r="AK120" s="193">
        <v>0</v>
      </c>
      <c r="AL120" s="191"/>
      <c r="AM120" s="195"/>
      <c r="AN120" s="191"/>
      <c r="AO120" s="191" t="s">
        <v>243</v>
      </c>
      <c r="AP120" s="193">
        <v>17605.633802816901</v>
      </c>
      <c r="AQ120" s="193"/>
      <c r="AR120" s="193"/>
      <c r="AS120" s="193"/>
      <c r="AT120" s="193"/>
      <c r="AU120" s="193">
        <v>1254.5999999999999</v>
      </c>
      <c r="AV120" s="193"/>
      <c r="AW120" s="193"/>
      <c r="AX120" s="193">
        <v>1254.5999999999999</v>
      </c>
      <c r="AY120" s="193">
        <v>0.99550000000000005</v>
      </c>
      <c r="AZ120" s="193">
        <v>12.035</v>
      </c>
      <c r="BA120" s="193">
        <v>0.28399999999999997</v>
      </c>
      <c r="BB120" s="193">
        <v>0</v>
      </c>
      <c r="BC120" s="193">
        <v>0</v>
      </c>
      <c r="BD120" s="193">
        <v>0</v>
      </c>
    </row>
    <row r="121" spans="1:56">
      <c r="A121" s="195"/>
      <c r="B121" s="196"/>
      <c r="C121" s="191" t="s">
        <v>244</v>
      </c>
      <c r="D121" s="192"/>
      <c r="E121" s="192"/>
      <c r="F121" s="192"/>
      <c r="G121" s="192"/>
      <c r="H121" s="192"/>
      <c r="I121" s="192"/>
      <c r="J121" s="193"/>
      <c r="K121" s="193"/>
      <c r="L121" s="192"/>
      <c r="M121" s="193"/>
      <c r="N121" s="193"/>
      <c r="O121" s="193"/>
      <c r="P121" s="193"/>
      <c r="Q121" s="193"/>
      <c r="R121" s="193"/>
      <c r="S121" s="193"/>
      <c r="T121" s="193"/>
      <c r="U121" s="191"/>
      <c r="V121" s="191" t="s">
        <v>244</v>
      </c>
      <c r="W121" s="193"/>
      <c r="X121" s="193"/>
      <c r="Y121" s="193"/>
      <c r="Z121" s="193"/>
      <c r="AA121" s="193"/>
      <c r="AB121" s="193"/>
      <c r="AC121" s="193"/>
      <c r="AD121" s="193"/>
      <c r="AE121" s="193"/>
      <c r="AF121" s="193"/>
      <c r="AG121" s="193"/>
      <c r="AH121" s="193"/>
      <c r="AI121" s="193"/>
      <c r="AJ121" s="193"/>
      <c r="AK121" s="193"/>
      <c r="AL121" s="191"/>
      <c r="AM121" s="195"/>
      <c r="AN121" s="191"/>
      <c r="AO121" s="191" t="s">
        <v>244</v>
      </c>
      <c r="AP121" s="193"/>
      <c r="AQ121" s="193"/>
      <c r="AR121" s="193"/>
      <c r="AS121" s="193"/>
      <c r="AT121" s="193"/>
      <c r="AU121" s="193"/>
      <c r="AV121" s="193"/>
      <c r="AW121" s="193"/>
      <c r="AX121" s="193"/>
      <c r="AY121" s="193"/>
      <c r="AZ121" s="193"/>
      <c r="BA121" s="193"/>
      <c r="BB121" s="193"/>
      <c r="BC121" s="193"/>
      <c r="BD121" s="193"/>
    </row>
    <row r="122" spans="1:56">
      <c r="A122" s="195"/>
      <c r="B122" s="196" t="s">
        <v>2197</v>
      </c>
      <c r="C122" s="191" t="s">
        <v>23</v>
      </c>
      <c r="D122" s="192">
        <v>0</v>
      </c>
      <c r="E122" s="192"/>
      <c r="F122" s="192"/>
      <c r="G122" s="192"/>
      <c r="H122" s="192"/>
      <c r="I122" s="192">
        <v>0</v>
      </c>
      <c r="J122" s="193"/>
      <c r="K122" s="193"/>
      <c r="L122" s="192">
        <v>0</v>
      </c>
      <c r="M122" s="193">
        <v>0</v>
      </c>
      <c r="N122" s="193">
        <v>0</v>
      </c>
      <c r="O122" s="193">
        <v>0</v>
      </c>
      <c r="P122" s="193">
        <v>0</v>
      </c>
      <c r="Q122" s="193">
        <v>0</v>
      </c>
      <c r="R122" s="193">
        <v>0</v>
      </c>
      <c r="S122" s="193"/>
      <c r="T122" s="193"/>
      <c r="U122" s="191" t="s">
        <v>2197</v>
      </c>
      <c r="V122" s="191" t="s">
        <v>23</v>
      </c>
      <c r="W122" s="193">
        <v>0</v>
      </c>
      <c r="X122" s="193"/>
      <c r="Y122" s="193"/>
      <c r="Z122" s="193"/>
      <c r="AA122" s="193"/>
      <c r="AB122" s="193">
        <v>0</v>
      </c>
      <c r="AC122" s="193"/>
      <c r="AD122" s="193"/>
      <c r="AE122" s="193">
        <v>0</v>
      </c>
      <c r="AF122" s="193">
        <v>0</v>
      </c>
      <c r="AG122" s="193">
        <v>0</v>
      </c>
      <c r="AH122" s="193">
        <v>0</v>
      </c>
      <c r="AI122" s="193">
        <v>0</v>
      </c>
      <c r="AJ122" s="193">
        <v>0</v>
      </c>
      <c r="AK122" s="193">
        <v>0</v>
      </c>
      <c r="AL122" s="191"/>
      <c r="AM122" s="195"/>
      <c r="AN122" s="191" t="s">
        <v>2197</v>
      </c>
      <c r="AO122" s="191" t="s">
        <v>23</v>
      </c>
      <c r="AP122" s="193">
        <v>0</v>
      </c>
      <c r="AQ122" s="193"/>
      <c r="AR122" s="193"/>
      <c r="AS122" s="193"/>
      <c r="AT122" s="193"/>
      <c r="AU122" s="193">
        <v>0</v>
      </c>
      <c r="AV122" s="193"/>
      <c r="AW122" s="193"/>
      <c r="AX122" s="193">
        <v>0</v>
      </c>
      <c r="AY122" s="193">
        <v>0</v>
      </c>
      <c r="AZ122" s="193">
        <v>0</v>
      </c>
      <c r="BA122" s="193">
        <v>0</v>
      </c>
      <c r="BB122" s="193">
        <v>0</v>
      </c>
      <c r="BC122" s="193">
        <v>0</v>
      </c>
      <c r="BD122" s="193">
        <v>0</v>
      </c>
    </row>
    <row r="123" spans="1:56">
      <c r="A123" s="195"/>
      <c r="B123" s="196"/>
      <c r="C123" s="191" t="s">
        <v>24</v>
      </c>
      <c r="D123" s="192">
        <v>0</v>
      </c>
      <c r="E123" s="192"/>
      <c r="F123" s="192"/>
      <c r="G123" s="192"/>
      <c r="H123" s="192"/>
      <c r="I123" s="192">
        <v>0</v>
      </c>
      <c r="J123" s="193"/>
      <c r="K123" s="193"/>
      <c r="L123" s="192">
        <v>0</v>
      </c>
      <c r="M123" s="193">
        <v>0</v>
      </c>
      <c r="N123" s="193">
        <v>0</v>
      </c>
      <c r="O123" s="193">
        <v>0</v>
      </c>
      <c r="P123" s="193">
        <v>0</v>
      </c>
      <c r="Q123" s="193">
        <v>0</v>
      </c>
      <c r="R123" s="193">
        <v>0</v>
      </c>
      <c r="S123" s="193"/>
      <c r="T123" s="193"/>
      <c r="U123" s="191"/>
      <c r="V123" s="191" t="s">
        <v>24</v>
      </c>
      <c r="W123" s="193">
        <v>0</v>
      </c>
      <c r="X123" s="193"/>
      <c r="Y123" s="193"/>
      <c r="Z123" s="193"/>
      <c r="AA123" s="193"/>
      <c r="AB123" s="193">
        <v>0</v>
      </c>
      <c r="AC123" s="193"/>
      <c r="AD123" s="193"/>
      <c r="AE123" s="193">
        <v>0</v>
      </c>
      <c r="AF123" s="193">
        <v>0</v>
      </c>
      <c r="AG123" s="193">
        <v>0</v>
      </c>
      <c r="AH123" s="193">
        <v>0</v>
      </c>
      <c r="AI123" s="193">
        <v>0</v>
      </c>
      <c r="AJ123" s="193">
        <v>0</v>
      </c>
      <c r="AK123" s="193">
        <v>0</v>
      </c>
      <c r="AL123" s="191"/>
      <c r="AM123" s="195"/>
      <c r="AN123" s="191"/>
      <c r="AO123" s="191" t="s">
        <v>24</v>
      </c>
      <c r="AP123" s="193">
        <v>0</v>
      </c>
      <c r="AQ123" s="193"/>
      <c r="AR123" s="193"/>
      <c r="AS123" s="193"/>
      <c r="AT123" s="193"/>
      <c r="AU123" s="193">
        <v>0</v>
      </c>
      <c r="AV123" s="193"/>
      <c r="AW123" s="193"/>
      <c r="AX123" s="193">
        <v>0</v>
      </c>
      <c r="AY123" s="193">
        <v>0</v>
      </c>
      <c r="AZ123" s="193">
        <v>0</v>
      </c>
      <c r="BA123" s="193">
        <v>0</v>
      </c>
      <c r="BB123" s="193">
        <v>0</v>
      </c>
      <c r="BC123" s="193">
        <v>0</v>
      </c>
      <c r="BD123" s="193">
        <v>0</v>
      </c>
    </row>
    <row r="124" spans="1:56">
      <c r="A124" s="195"/>
      <c r="B124" s="196"/>
      <c r="C124" s="191" t="s">
        <v>243</v>
      </c>
      <c r="D124" s="192">
        <v>0</v>
      </c>
      <c r="E124" s="192"/>
      <c r="F124" s="192"/>
      <c r="G124" s="192"/>
      <c r="H124" s="192"/>
      <c r="I124" s="192">
        <v>0</v>
      </c>
      <c r="J124" s="193"/>
      <c r="K124" s="193"/>
      <c r="L124" s="192">
        <v>0</v>
      </c>
      <c r="M124" s="193">
        <v>0</v>
      </c>
      <c r="N124" s="193">
        <v>0</v>
      </c>
      <c r="O124" s="193">
        <v>0</v>
      </c>
      <c r="P124" s="193">
        <v>0</v>
      </c>
      <c r="Q124" s="193">
        <v>0</v>
      </c>
      <c r="R124" s="193">
        <v>0</v>
      </c>
      <c r="S124" s="193"/>
      <c r="T124" s="193"/>
      <c r="U124" s="191"/>
      <c r="V124" s="191" t="s">
        <v>243</v>
      </c>
      <c r="W124" s="193">
        <v>0</v>
      </c>
      <c r="X124" s="193"/>
      <c r="Y124" s="193"/>
      <c r="Z124" s="193"/>
      <c r="AA124" s="193"/>
      <c r="AB124" s="193">
        <v>0</v>
      </c>
      <c r="AC124" s="193"/>
      <c r="AD124" s="193"/>
      <c r="AE124" s="193">
        <v>0</v>
      </c>
      <c r="AF124" s="193">
        <v>0</v>
      </c>
      <c r="AG124" s="193">
        <v>0</v>
      </c>
      <c r="AH124" s="193">
        <v>0</v>
      </c>
      <c r="AI124" s="193">
        <v>0</v>
      </c>
      <c r="AJ124" s="193">
        <v>0</v>
      </c>
      <c r="AK124" s="193">
        <v>0</v>
      </c>
      <c r="AL124" s="191"/>
      <c r="AM124" s="195"/>
      <c r="AN124" s="191"/>
      <c r="AO124" s="191" t="s">
        <v>243</v>
      </c>
      <c r="AP124" s="193">
        <v>0</v>
      </c>
      <c r="AQ124" s="193"/>
      <c r="AR124" s="193"/>
      <c r="AS124" s="193"/>
      <c r="AT124" s="193"/>
      <c r="AU124" s="193">
        <v>0</v>
      </c>
      <c r="AV124" s="193"/>
      <c r="AW124" s="193"/>
      <c r="AX124" s="193">
        <v>0</v>
      </c>
      <c r="AY124" s="193">
        <v>0</v>
      </c>
      <c r="AZ124" s="193">
        <v>0</v>
      </c>
      <c r="BA124" s="193">
        <v>0</v>
      </c>
      <c r="BB124" s="193">
        <v>0</v>
      </c>
      <c r="BC124" s="193">
        <v>0</v>
      </c>
      <c r="BD124" s="193">
        <v>0</v>
      </c>
    </row>
    <row r="125" spans="1:56">
      <c r="A125" s="195"/>
      <c r="B125" s="196"/>
      <c r="C125" s="191" t="s">
        <v>244</v>
      </c>
      <c r="D125" s="192"/>
      <c r="E125" s="192"/>
      <c r="F125" s="192"/>
      <c r="G125" s="192"/>
      <c r="H125" s="192"/>
      <c r="I125" s="192"/>
      <c r="J125" s="193"/>
      <c r="K125" s="193"/>
      <c r="L125" s="192"/>
      <c r="M125" s="193"/>
      <c r="N125" s="193"/>
      <c r="O125" s="193"/>
      <c r="P125" s="193"/>
      <c r="Q125" s="193"/>
      <c r="R125" s="193"/>
      <c r="S125" s="193"/>
      <c r="T125" s="193"/>
      <c r="U125" s="191"/>
      <c r="V125" s="191" t="s">
        <v>244</v>
      </c>
      <c r="W125" s="193"/>
      <c r="X125" s="193"/>
      <c r="Y125" s="193"/>
      <c r="Z125" s="193"/>
      <c r="AA125" s="193"/>
      <c r="AB125" s="193"/>
      <c r="AC125" s="193"/>
      <c r="AD125" s="193"/>
      <c r="AE125" s="193"/>
      <c r="AF125" s="193"/>
      <c r="AG125" s="193"/>
      <c r="AH125" s="193"/>
      <c r="AI125" s="193"/>
      <c r="AJ125" s="193"/>
      <c r="AK125" s="193"/>
      <c r="AL125" s="191"/>
      <c r="AM125" s="195"/>
      <c r="AN125" s="191"/>
      <c r="AO125" s="191" t="s">
        <v>244</v>
      </c>
      <c r="AP125" s="193"/>
      <c r="AQ125" s="193"/>
      <c r="AR125" s="193"/>
      <c r="AS125" s="193"/>
      <c r="AT125" s="193"/>
      <c r="AU125" s="193"/>
      <c r="AV125" s="193"/>
      <c r="AW125" s="193"/>
      <c r="AX125" s="193"/>
      <c r="AY125" s="193"/>
      <c r="AZ125" s="193"/>
      <c r="BA125" s="193"/>
      <c r="BB125" s="193"/>
      <c r="BC125" s="193"/>
      <c r="BD125" s="193"/>
    </row>
    <row r="126" spans="1:56">
      <c r="A126" s="195"/>
      <c r="B126" s="196" t="s">
        <v>2198</v>
      </c>
      <c r="C126" s="191" t="s">
        <v>23</v>
      </c>
      <c r="D126" s="192">
        <v>449.83984696639226</v>
      </c>
      <c r="E126" s="192"/>
      <c r="F126" s="192"/>
      <c r="G126" s="192"/>
      <c r="H126" s="192"/>
      <c r="I126" s="192">
        <v>42.703334627809468</v>
      </c>
      <c r="J126" s="193"/>
      <c r="K126" s="193"/>
      <c r="L126" s="192">
        <v>65.448990985795874</v>
      </c>
      <c r="M126" s="193">
        <v>1.6731614705078765E-2</v>
      </c>
      <c r="N126" s="193">
        <v>8.183177980835718E-2</v>
      </c>
      <c r="O126" s="193">
        <v>0.65156513808791106</v>
      </c>
      <c r="P126" s="193">
        <v>1.9406050061076045E-2</v>
      </c>
      <c r="Q126" s="193">
        <v>9.2354202799914461E-3</v>
      </c>
      <c r="R126" s="193">
        <v>0.14875892971922652</v>
      </c>
      <c r="S126" s="193"/>
      <c r="T126" s="193"/>
      <c r="U126" s="191" t="s">
        <v>2198</v>
      </c>
      <c r="V126" s="191" t="s">
        <v>23</v>
      </c>
      <c r="W126" s="193">
        <v>442.91923393614007</v>
      </c>
      <c r="X126" s="193"/>
      <c r="Y126" s="193"/>
      <c r="Z126" s="193"/>
      <c r="AA126" s="193"/>
      <c r="AB126" s="193">
        <v>42.195569277406449</v>
      </c>
      <c r="AC126" s="193"/>
      <c r="AD126" s="193"/>
      <c r="AE126" s="193">
        <v>64.670767689393529</v>
      </c>
      <c r="AF126" s="193">
        <v>7.5003790057249645E-3</v>
      </c>
      <c r="AG126" s="193">
        <v>8.2961299853308319E-3</v>
      </c>
      <c r="AH126" s="193">
        <v>4.0355212915675537E-2</v>
      </c>
      <c r="AI126" s="193">
        <v>4.2911969853365326E-3</v>
      </c>
      <c r="AJ126" s="193">
        <v>1.1658280645416425E-3</v>
      </c>
      <c r="AK126" s="193">
        <v>0.14694479642996763</v>
      </c>
      <c r="AL126" s="191"/>
      <c r="AM126" s="195"/>
      <c r="AN126" s="191" t="s">
        <v>2198</v>
      </c>
      <c r="AO126" s="191" t="s">
        <v>23</v>
      </c>
      <c r="AP126" s="193">
        <v>442.91923393614007</v>
      </c>
      <c r="AQ126" s="193"/>
      <c r="AR126" s="193"/>
      <c r="AS126" s="193"/>
      <c r="AT126" s="193"/>
      <c r="AU126" s="193">
        <v>42.195569277406449</v>
      </c>
      <c r="AV126" s="193"/>
      <c r="AW126" s="193"/>
      <c r="AX126" s="193">
        <v>64.670767689393529</v>
      </c>
      <c r="AY126" s="193">
        <v>7.5003790057249645E-3</v>
      </c>
      <c r="AZ126" s="193">
        <v>8.2961299853308319E-3</v>
      </c>
      <c r="BA126" s="193">
        <v>4.0355212915675537E-2</v>
      </c>
      <c r="BB126" s="193">
        <v>4.2911969853365326E-3</v>
      </c>
      <c r="BC126" s="193">
        <v>1.1658280645416425E-3</v>
      </c>
      <c r="BD126" s="193">
        <v>0.14694479642996763</v>
      </c>
    </row>
    <row r="127" spans="1:56">
      <c r="A127" s="195"/>
      <c r="B127" s="196"/>
      <c r="C127" s="191" t="s">
        <v>24</v>
      </c>
      <c r="D127" s="192">
        <v>1425.6953482270624</v>
      </c>
      <c r="E127" s="192"/>
      <c r="F127" s="192"/>
      <c r="G127" s="192"/>
      <c r="H127" s="192"/>
      <c r="I127" s="192">
        <v>105.7838083405334</v>
      </c>
      <c r="J127" s="193"/>
      <c r="K127" s="193"/>
      <c r="L127" s="192">
        <v>108.36254966501764</v>
      </c>
      <c r="M127" s="193">
        <v>2.0170741873672619E-2</v>
      </c>
      <c r="N127" s="193">
        <v>6.6596632998639577E-2</v>
      </c>
      <c r="O127" s="193">
        <v>0.49478677936334314</v>
      </c>
      <c r="P127" s="193">
        <v>6.3668373775671555E-2</v>
      </c>
      <c r="Q127" s="193">
        <v>2.5071196543925506E-2</v>
      </c>
      <c r="R127" s="193">
        <v>0.24456339790027914</v>
      </c>
      <c r="S127" s="193"/>
      <c r="T127" s="193"/>
      <c r="U127" s="191"/>
      <c r="V127" s="191" t="s">
        <v>24</v>
      </c>
      <c r="W127" s="193">
        <v>1403.7615736389537</v>
      </c>
      <c r="X127" s="193"/>
      <c r="Y127" s="193"/>
      <c r="Z127" s="193"/>
      <c r="AA127" s="193"/>
      <c r="AB127" s="193">
        <v>104.52598262324112</v>
      </c>
      <c r="AC127" s="193"/>
      <c r="AD127" s="193"/>
      <c r="AE127" s="193">
        <v>107.07406134248298</v>
      </c>
      <c r="AF127" s="193">
        <v>9.042056701991175E-3</v>
      </c>
      <c r="AG127" s="193">
        <v>6.7515863059068202E-3</v>
      </c>
      <c r="AH127" s="193">
        <v>3.0645018681731636E-2</v>
      </c>
      <c r="AI127" s="193">
        <v>1.4078781243352718E-2</v>
      </c>
      <c r="AJ127" s="193">
        <v>3.1648483400232284E-3</v>
      </c>
      <c r="AK127" s="193">
        <v>0.24158091743808061</v>
      </c>
      <c r="AL127" s="191"/>
      <c r="AM127" s="195"/>
      <c r="AN127" s="191"/>
      <c r="AO127" s="191" t="s">
        <v>24</v>
      </c>
      <c r="AP127" s="193">
        <v>1403.7615736389537</v>
      </c>
      <c r="AQ127" s="193"/>
      <c r="AR127" s="193"/>
      <c r="AS127" s="193"/>
      <c r="AT127" s="193"/>
      <c r="AU127" s="193">
        <v>104.52598262324112</v>
      </c>
      <c r="AV127" s="193"/>
      <c r="AW127" s="193"/>
      <c r="AX127" s="193">
        <v>107.07406134248298</v>
      </c>
      <c r="AY127" s="193">
        <v>9.042056701991175E-3</v>
      </c>
      <c r="AZ127" s="193">
        <v>6.7515863059068202E-3</v>
      </c>
      <c r="BA127" s="193">
        <v>3.0645018681731636E-2</v>
      </c>
      <c r="BB127" s="193">
        <v>1.4078781243352718E-2</v>
      </c>
      <c r="BC127" s="193">
        <v>3.1648483400232284E-3</v>
      </c>
      <c r="BD127" s="193">
        <v>0.24158091743808061</v>
      </c>
    </row>
    <row r="128" spans="1:56">
      <c r="A128" s="195"/>
      <c r="B128" s="196"/>
      <c r="C128" s="191" t="s">
        <v>243</v>
      </c>
      <c r="D128" s="192">
        <v>10195.3125</v>
      </c>
      <c r="E128" s="192"/>
      <c r="F128" s="192"/>
      <c r="G128" s="192"/>
      <c r="H128" s="192"/>
      <c r="I128" s="192">
        <v>794.75</v>
      </c>
      <c r="J128" s="193"/>
      <c r="K128" s="193"/>
      <c r="L128" s="192">
        <v>794.75</v>
      </c>
      <c r="M128" s="193">
        <v>0.23199999999999998</v>
      </c>
      <c r="N128" s="193">
        <v>1.0505</v>
      </c>
      <c r="O128" s="193">
        <v>3.9879999999999995</v>
      </c>
      <c r="P128" s="193">
        <v>0.14200000000000002</v>
      </c>
      <c r="Q128" s="193">
        <v>0.11645</v>
      </c>
      <c r="R128" s="193">
        <v>8.2000000000000007E-3</v>
      </c>
      <c r="S128" s="193"/>
      <c r="T128" s="193"/>
      <c r="U128" s="191"/>
      <c r="V128" s="191" t="s">
        <v>243</v>
      </c>
      <c r="W128" s="193">
        <v>10038.461538461539</v>
      </c>
      <c r="X128" s="193"/>
      <c r="Y128" s="193"/>
      <c r="Z128" s="193"/>
      <c r="AA128" s="193"/>
      <c r="AB128" s="193">
        <v>785.3</v>
      </c>
      <c r="AC128" s="193"/>
      <c r="AD128" s="193"/>
      <c r="AE128" s="193">
        <v>785.3</v>
      </c>
      <c r="AF128" s="193">
        <v>0.104</v>
      </c>
      <c r="AG128" s="193">
        <v>0.1065</v>
      </c>
      <c r="AH128" s="193">
        <v>0.247</v>
      </c>
      <c r="AI128" s="193">
        <v>3.1399999999999997E-2</v>
      </c>
      <c r="AJ128" s="193">
        <v>1.47E-2</v>
      </c>
      <c r="AK128" s="193">
        <v>8.0999999999999996E-3</v>
      </c>
      <c r="AL128" s="191"/>
      <c r="AM128" s="195"/>
      <c r="AN128" s="191"/>
      <c r="AO128" s="191" t="s">
        <v>243</v>
      </c>
      <c r="AP128" s="193">
        <v>10038.461538461539</v>
      </c>
      <c r="AQ128" s="193"/>
      <c r="AR128" s="193"/>
      <c r="AS128" s="193"/>
      <c r="AT128" s="193"/>
      <c r="AU128" s="193">
        <v>785.3</v>
      </c>
      <c r="AV128" s="193"/>
      <c r="AW128" s="193"/>
      <c r="AX128" s="193">
        <v>785.3</v>
      </c>
      <c r="AY128" s="193">
        <v>0.104</v>
      </c>
      <c r="AZ128" s="193">
        <v>0.1065</v>
      </c>
      <c r="BA128" s="193">
        <v>0.247</v>
      </c>
      <c r="BB128" s="193">
        <v>3.1399999999999997E-2</v>
      </c>
      <c r="BC128" s="193">
        <v>1.47E-2</v>
      </c>
      <c r="BD128" s="193">
        <v>8.0999999999999996E-3</v>
      </c>
    </row>
    <row r="129" spans="1:56">
      <c r="A129" s="195"/>
      <c r="B129" s="196"/>
      <c r="C129" s="191" t="s">
        <v>244</v>
      </c>
      <c r="D129" s="192"/>
      <c r="E129" s="192"/>
      <c r="F129" s="192"/>
      <c r="G129" s="192"/>
      <c r="H129" s="192"/>
      <c r="I129" s="192"/>
      <c r="J129" s="193"/>
      <c r="K129" s="193"/>
      <c r="L129" s="192"/>
      <c r="M129" s="193"/>
      <c r="N129" s="193"/>
      <c r="O129" s="193"/>
      <c r="P129" s="193"/>
      <c r="Q129" s="193"/>
      <c r="R129" s="193"/>
      <c r="S129" s="193"/>
      <c r="T129" s="193"/>
      <c r="U129" s="191"/>
      <c r="V129" s="191" t="s">
        <v>244</v>
      </c>
      <c r="W129" s="193"/>
      <c r="X129" s="193"/>
      <c r="Y129" s="193"/>
      <c r="Z129" s="193"/>
      <c r="AA129" s="193"/>
      <c r="AB129" s="193"/>
      <c r="AC129" s="193"/>
      <c r="AD129" s="193"/>
      <c r="AE129" s="193"/>
      <c r="AF129" s="193"/>
      <c r="AG129" s="193"/>
      <c r="AH129" s="193"/>
      <c r="AI129" s="193"/>
      <c r="AJ129" s="193"/>
      <c r="AK129" s="193"/>
      <c r="AL129" s="191"/>
      <c r="AM129" s="195"/>
      <c r="AN129" s="191"/>
      <c r="AO129" s="191" t="s">
        <v>244</v>
      </c>
      <c r="AP129" s="193"/>
      <c r="AQ129" s="193"/>
      <c r="AR129" s="193"/>
      <c r="AS129" s="193"/>
      <c r="AT129" s="193"/>
      <c r="AU129" s="193"/>
      <c r="AV129" s="193"/>
      <c r="AW129" s="193"/>
      <c r="AX129" s="193"/>
      <c r="AY129" s="193"/>
      <c r="AZ129" s="193"/>
      <c r="BA129" s="193"/>
      <c r="BB129" s="193"/>
      <c r="BC129" s="193"/>
      <c r="BD129" s="193"/>
    </row>
    <row r="130" spans="1:56">
      <c r="A130" s="195"/>
      <c r="B130" s="196" t="s">
        <v>2199</v>
      </c>
      <c r="C130" s="191" t="s">
        <v>23</v>
      </c>
      <c r="D130" s="192">
        <v>496.37500354912243</v>
      </c>
      <c r="E130" s="192"/>
      <c r="F130" s="192"/>
      <c r="G130" s="192"/>
      <c r="H130" s="192"/>
      <c r="I130" s="192">
        <v>47.24098371156979</v>
      </c>
      <c r="J130" s="193"/>
      <c r="K130" s="193"/>
      <c r="L130" s="192">
        <v>72.403589650470906</v>
      </c>
      <c r="M130" s="193">
        <v>1.8318233340905203E-2</v>
      </c>
      <c r="N130" s="193">
        <v>9.4061755467483382E-2</v>
      </c>
      <c r="O130" s="193">
        <v>0.72574030676692602</v>
      </c>
      <c r="P130" s="193">
        <v>2.0800005769688545E-2</v>
      </c>
      <c r="Q130" s="193">
        <v>9.9769503754652111E-3</v>
      </c>
      <c r="R130" s="193">
        <v>0.17052852919033282</v>
      </c>
      <c r="S130" s="193"/>
      <c r="T130" s="193"/>
      <c r="U130" s="191" t="s">
        <v>2199</v>
      </c>
      <c r="V130" s="191" t="s">
        <v>23</v>
      </c>
      <c r="W130" s="193">
        <v>492.13248215126674</v>
      </c>
      <c r="X130" s="193"/>
      <c r="Y130" s="193"/>
      <c r="Z130" s="193"/>
      <c r="AA130" s="193"/>
      <c r="AB130" s="193">
        <v>46.902473477967767</v>
      </c>
      <c r="AC130" s="193"/>
      <c r="AD130" s="193"/>
      <c r="AE130" s="193">
        <v>71.88477411953599</v>
      </c>
      <c r="AF130" s="193">
        <v>8.582164439242989E-3</v>
      </c>
      <c r="AG130" s="193">
        <v>9.0751093266764511E-3</v>
      </c>
      <c r="AH130" s="193">
        <v>4.3051006491014183E-2</v>
      </c>
      <c r="AI130" s="193">
        <v>4.5166898205532607E-3</v>
      </c>
      <c r="AJ130" s="193">
        <v>1.2887555135239245E-3</v>
      </c>
      <c r="AK130" s="193">
        <v>0.16871439590107393</v>
      </c>
      <c r="AL130" s="191"/>
      <c r="AM130" s="195"/>
      <c r="AN130" s="191" t="s">
        <v>2199</v>
      </c>
      <c r="AO130" s="191" t="s">
        <v>23</v>
      </c>
      <c r="AP130" s="193">
        <v>492.13248215126674</v>
      </c>
      <c r="AQ130" s="193"/>
      <c r="AR130" s="193"/>
      <c r="AS130" s="193"/>
      <c r="AT130" s="193"/>
      <c r="AU130" s="193">
        <v>46.902473477967767</v>
      </c>
      <c r="AV130" s="193"/>
      <c r="AW130" s="193"/>
      <c r="AX130" s="193">
        <v>71.88477411953599</v>
      </c>
      <c r="AY130" s="193">
        <v>8.582164439242989E-3</v>
      </c>
      <c r="AZ130" s="193">
        <v>9.0751093266764511E-3</v>
      </c>
      <c r="BA130" s="193">
        <v>4.3051006491014183E-2</v>
      </c>
      <c r="BB130" s="193">
        <v>4.5166898205532607E-3</v>
      </c>
      <c r="BC130" s="193">
        <v>1.2887555135239245E-3</v>
      </c>
      <c r="BD130" s="193">
        <v>0.16871439590107393</v>
      </c>
    </row>
    <row r="131" spans="1:56">
      <c r="A131" s="195"/>
      <c r="B131" s="196"/>
      <c r="C131" s="191" t="s">
        <v>24</v>
      </c>
      <c r="D131" s="192">
        <v>1573.1810739057239</v>
      </c>
      <c r="E131" s="192"/>
      <c r="F131" s="192"/>
      <c r="G131" s="192"/>
      <c r="H131" s="192"/>
      <c r="I131" s="192">
        <v>117.02437784585968</v>
      </c>
      <c r="J131" s="193"/>
      <c r="K131" s="193"/>
      <c r="L131" s="192">
        <v>119.8771357854464</v>
      </c>
      <c r="M131" s="193">
        <v>2.2083484637555374E-2</v>
      </c>
      <c r="N131" s="193">
        <v>7.6549675721901272E-2</v>
      </c>
      <c r="O131" s="193">
        <v>0.55111406066498758</v>
      </c>
      <c r="P131" s="193">
        <v>6.8241735835614145E-2</v>
      </c>
      <c r="Q131" s="193">
        <v>2.7084212324824632E-2</v>
      </c>
      <c r="R131" s="193">
        <v>0.28035316344666145</v>
      </c>
      <c r="S131" s="193"/>
      <c r="T131" s="193"/>
      <c r="U131" s="191"/>
      <c r="V131" s="191" t="s">
        <v>24</v>
      </c>
      <c r="W131" s="193">
        <v>1559.7350818210596</v>
      </c>
      <c r="X131" s="193"/>
      <c r="Y131" s="193"/>
      <c r="Z131" s="193"/>
      <c r="AA131" s="193"/>
      <c r="AB131" s="193">
        <v>116.18582736766481</v>
      </c>
      <c r="AC131" s="193"/>
      <c r="AD131" s="193"/>
      <c r="AE131" s="193">
        <v>119.01814357042326</v>
      </c>
      <c r="AF131" s="193">
        <v>1.0346199495547595E-2</v>
      </c>
      <c r="AG131" s="193">
        <v>7.3855380717196681E-3</v>
      </c>
      <c r="AH131" s="193">
        <v>3.2692155557231928E-2</v>
      </c>
      <c r="AI131" s="193">
        <v>1.4818589811872845E-2</v>
      </c>
      <c r="AJ131" s="193">
        <v>3.4985568384610522E-3</v>
      </c>
      <c r="AK131" s="193">
        <v>0.27737068298446288</v>
      </c>
      <c r="AL131" s="191"/>
      <c r="AM131" s="195"/>
      <c r="AN131" s="191"/>
      <c r="AO131" s="191" t="s">
        <v>24</v>
      </c>
      <c r="AP131" s="193">
        <v>1559.7350818210596</v>
      </c>
      <c r="AQ131" s="193"/>
      <c r="AR131" s="193"/>
      <c r="AS131" s="193"/>
      <c r="AT131" s="193"/>
      <c r="AU131" s="193">
        <v>116.18582736766481</v>
      </c>
      <c r="AV131" s="193"/>
      <c r="AW131" s="193"/>
      <c r="AX131" s="193">
        <v>119.01814357042326</v>
      </c>
      <c r="AY131" s="193">
        <v>1.0346199495547595E-2</v>
      </c>
      <c r="AZ131" s="193">
        <v>7.3855380717196681E-3</v>
      </c>
      <c r="BA131" s="193">
        <v>3.2692155557231928E-2</v>
      </c>
      <c r="BB131" s="193">
        <v>1.4818589811872845E-2</v>
      </c>
      <c r="BC131" s="193">
        <v>3.4985568384610522E-3</v>
      </c>
      <c r="BD131" s="193">
        <v>0.27737068298446288</v>
      </c>
    </row>
    <row r="132" spans="1:56">
      <c r="A132" s="195"/>
      <c r="B132" s="196"/>
      <c r="C132" s="191" t="s">
        <v>243</v>
      </c>
      <c r="D132" s="192">
        <v>11250</v>
      </c>
      <c r="E132" s="192"/>
      <c r="F132" s="192"/>
      <c r="G132" s="192"/>
      <c r="H132" s="192"/>
      <c r="I132" s="192">
        <v>879.2</v>
      </c>
      <c r="J132" s="193"/>
      <c r="K132" s="193"/>
      <c r="L132" s="192">
        <v>879.2</v>
      </c>
      <c r="M132" s="193">
        <v>0.254</v>
      </c>
      <c r="N132" s="193">
        <v>1.2075</v>
      </c>
      <c r="O132" s="193">
        <v>4.4420000000000002</v>
      </c>
      <c r="P132" s="193">
        <v>0.1522</v>
      </c>
      <c r="Q132" s="193">
        <v>0.1258</v>
      </c>
      <c r="R132" s="193">
        <v>9.4000000000000004E-3</v>
      </c>
      <c r="S132" s="193"/>
      <c r="T132" s="193"/>
      <c r="U132" s="191"/>
      <c r="V132" s="191" t="s">
        <v>243</v>
      </c>
      <c r="W132" s="193">
        <v>11153.846153846154</v>
      </c>
      <c r="X132" s="193"/>
      <c r="Y132" s="193"/>
      <c r="Z132" s="193"/>
      <c r="AA132" s="193"/>
      <c r="AB132" s="193">
        <v>872.9</v>
      </c>
      <c r="AC132" s="193"/>
      <c r="AD132" s="193"/>
      <c r="AE132" s="193">
        <v>872.9</v>
      </c>
      <c r="AF132" s="193">
        <v>0.11899999999999999</v>
      </c>
      <c r="AG132" s="193">
        <v>0.11650000000000001</v>
      </c>
      <c r="AH132" s="193">
        <v>0.26350000000000001</v>
      </c>
      <c r="AI132" s="193">
        <v>3.3049999999999996E-2</v>
      </c>
      <c r="AJ132" s="193">
        <v>1.6250000000000001E-2</v>
      </c>
      <c r="AK132" s="193">
        <v>9.2999999999999992E-3</v>
      </c>
      <c r="AL132" s="191"/>
      <c r="AM132" s="195"/>
      <c r="AN132" s="191"/>
      <c r="AO132" s="191" t="s">
        <v>243</v>
      </c>
      <c r="AP132" s="193">
        <v>11153.846153846154</v>
      </c>
      <c r="AQ132" s="193"/>
      <c r="AR132" s="193"/>
      <c r="AS132" s="193"/>
      <c r="AT132" s="193"/>
      <c r="AU132" s="193">
        <v>872.9</v>
      </c>
      <c r="AV132" s="193"/>
      <c r="AW132" s="193"/>
      <c r="AX132" s="193">
        <v>872.9</v>
      </c>
      <c r="AY132" s="193">
        <v>0.11899999999999999</v>
      </c>
      <c r="AZ132" s="193">
        <v>0.11650000000000001</v>
      </c>
      <c r="BA132" s="193">
        <v>0.26350000000000001</v>
      </c>
      <c r="BB132" s="193">
        <v>3.3049999999999996E-2</v>
      </c>
      <c r="BC132" s="193">
        <v>1.6250000000000001E-2</v>
      </c>
      <c r="BD132" s="193">
        <v>9.2999999999999992E-3</v>
      </c>
    </row>
    <row r="133" spans="1:56">
      <c r="A133" s="195"/>
      <c r="B133" s="196"/>
      <c r="C133" s="191" t="s">
        <v>244</v>
      </c>
      <c r="D133" s="192"/>
      <c r="E133" s="192"/>
      <c r="F133" s="192"/>
      <c r="G133" s="192"/>
      <c r="H133" s="192"/>
      <c r="I133" s="192"/>
      <c r="J133" s="193"/>
      <c r="K133" s="193"/>
      <c r="L133" s="192"/>
      <c r="M133" s="193"/>
      <c r="N133" s="193"/>
      <c r="O133" s="193"/>
      <c r="P133" s="193"/>
      <c r="Q133" s="193"/>
      <c r="R133" s="193"/>
      <c r="S133" s="193"/>
      <c r="T133" s="193"/>
      <c r="U133" s="191"/>
      <c r="V133" s="191" t="s">
        <v>244</v>
      </c>
      <c r="W133" s="193"/>
      <c r="X133" s="193"/>
      <c r="Y133" s="193"/>
      <c r="Z133" s="193"/>
      <c r="AA133" s="193"/>
      <c r="AB133" s="193"/>
      <c r="AC133" s="193"/>
      <c r="AD133" s="193"/>
      <c r="AE133" s="193"/>
      <c r="AF133" s="193"/>
      <c r="AG133" s="193"/>
      <c r="AH133" s="193"/>
      <c r="AI133" s="193"/>
      <c r="AJ133" s="193"/>
      <c r="AK133" s="193"/>
      <c r="AL133" s="191"/>
      <c r="AM133" s="195"/>
      <c r="AN133" s="191"/>
      <c r="AO133" s="191" t="s">
        <v>244</v>
      </c>
      <c r="AP133" s="193"/>
      <c r="AQ133" s="193"/>
      <c r="AR133" s="193"/>
      <c r="AS133" s="193"/>
      <c r="AT133" s="193"/>
      <c r="AU133" s="193"/>
      <c r="AV133" s="193"/>
      <c r="AW133" s="193"/>
      <c r="AX133" s="193"/>
      <c r="AY133" s="193"/>
      <c r="AZ133" s="193"/>
      <c r="BA133" s="193"/>
      <c r="BB133" s="193"/>
      <c r="BC133" s="193"/>
      <c r="BD133" s="193"/>
    </row>
    <row r="134" spans="1:56">
      <c r="A134" s="195"/>
      <c r="B134" s="196" t="s">
        <v>2200</v>
      </c>
      <c r="C134" s="191" t="s">
        <v>23</v>
      </c>
      <c r="D134" s="192">
        <v>570.09406348216044</v>
      </c>
      <c r="E134" s="192"/>
      <c r="F134" s="192"/>
      <c r="G134" s="192"/>
      <c r="H134" s="192"/>
      <c r="I134" s="192">
        <v>53.949396833031898</v>
      </c>
      <c r="J134" s="193"/>
      <c r="K134" s="193"/>
      <c r="L134" s="192">
        <v>82.685195846855436</v>
      </c>
      <c r="M134" s="193">
        <v>2.2392958473823093E-2</v>
      </c>
      <c r="N134" s="193">
        <v>0.10827812844704091</v>
      </c>
      <c r="O134" s="193">
        <v>0.88324000413822656</v>
      </c>
      <c r="P134" s="193">
        <v>1.8838901414924877E-2</v>
      </c>
      <c r="Q134" s="193">
        <v>8.9300843583257784E-3</v>
      </c>
      <c r="R134" s="193">
        <v>0.17506386241347993</v>
      </c>
      <c r="S134" s="193"/>
      <c r="T134" s="193"/>
      <c r="U134" s="191" t="s">
        <v>2200</v>
      </c>
      <c r="V134" s="191" t="s">
        <v>23</v>
      </c>
      <c r="W134" s="193">
        <v>564.50490599704131</v>
      </c>
      <c r="X134" s="193"/>
      <c r="Y134" s="193"/>
      <c r="Z134" s="193"/>
      <c r="AA134" s="193"/>
      <c r="AB134" s="193">
        <v>53.613573188585448</v>
      </c>
      <c r="AC134" s="193"/>
      <c r="AD134" s="193"/>
      <c r="AE134" s="193">
        <v>82.170497899499367</v>
      </c>
      <c r="AF134" s="193">
        <v>1.0096664046168222E-2</v>
      </c>
      <c r="AG134" s="193">
        <v>1.2931057066337261E-2</v>
      </c>
      <c r="AH134" s="193">
        <v>6.6169478667403206E-2</v>
      </c>
      <c r="AI134" s="193">
        <v>4.5166898205532607E-3</v>
      </c>
      <c r="AJ134" s="193">
        <v>1.2887555135239245E-3</v>
      </c>
      <c r="AK134" s="193">
        <v>0.17415679576885051</v>
      </c>
      <c r="AL134" s="191"/>
      <c r="AM134" s="195"/>
      <c r="AN134" s="191" t="s">
        <v>2200</v>
      </c>
      <c r="AO134" s="191" t="s">
        <v>23</v>
      </c>
      <c r="AP134" s="193">
        <v>564.50490599704131</v>
      </c>
      <c r="AQ134" s="193"/>
      <c r="AR134" s="193"/>
      <c r="AS134" s="193"/>
      <c r="AT134" s="193"/>
      <c r="AU134" s="193">
        <v>53.613573188585448</v>
      </c>
      <c r="AV134" s="193"/>
      <c r="AW134" s="193"/>
      <c r="AX134" s="193">
        <v>82.170497899499367</v>
      </c>
      <c r="AY134" s="193">
        <v>1.0096664046168222E-2</v>
      </c>
      <c r="AZ134" s="193">
        <v>1.2931057066337261E-2</v>
      </c>
      <c r="BA134" s="193">
        <v>6.6169478667403206E-2</v>
      </c>
      <c r="BB134" s="193">
        <v>4.5166898205532607E-3</v>
      </c>
      <c r="BC134" s="193">
        <v>1.2887555135239245E-3</v>
      </c>
      <c r="BD134" s="193">
        <v>0.17415679576885051</v>
      </c>
    </row>
    <row r="135" spans="1:56">
      <c r="A135" s="187"/>
      <c r="C135" s="184" t="s">
        <v>24</v>
      </c>
      <c r="D135" s="192">
        <v>1806.8218274560788</v>
      </c>
      <c r="E135" s="192"/>
      <c r="F135" s="192"/>
      <c r="G135" s="192"/>
      <c r="H135" s="192"/>
      <c r="I135" s="192">
        <v>133.64231867167356</v>
      </c>
      <c r="J135" s="193"/>
      <c r="K135" s="193"/>
      <c r="L135" s="192">
        <v>136.90017991967406</v>
      </c>
      <c r="M135" s="193">
        <v>2.6995755826617885E-2</v>
      </c>
      <c r="N135" s="193">
        <v>8.8119295447985732E-2</v>
      </c>
      <c r="O135" s="193">
        <v>0.6707164817548229</v>
      </c>
      <c r="P135" s="193">
        <v>6.180764313363607E-2</v>
      </c>
      <c r="Q135" s="193">
        <v>2.4242307692967043E-2</v>
      </c>
      <c r="R135" s="193">
        <v>0.28780936460215772</v>
      </c>
      <c r="S135" s="193"/>
      <c r="T135" s="193"/>
      <c r="V135" s="184" t="s">
        <v>24</v>
      </c>
      <c r="W135" s="194">
        <v>1789.1078879712156</v>
      </c>
      <c r="X135" s="194"/>
      <c r="Y135" s="194"/>
      <c r="Z135" s="194"/>
      <c r="AA135" s="194"/>
      <c r="AB135" s="194">
        <v>132.81042335600407</v>
      </c>
      <c r="AC135" s="194"/>
      <c r="AD135" s="194"/>
      <c r="AE135" s="194">
        <v>136.04800510318287</v>
      </c>
      <c r="AF135" s="194">
        <v>1.2171999406526583E-2</v>
      </c>
      <c r="AG135" s="194">
        <v>1.0523599312493262E-2</v>
      </c>
      <c r="AH135" s="194">
        <v>5.0247905125916252E-2</v>
      </c>
      <c r="AI135" s="194">
        <v>1.4818589811872845E-2</v>
      </c>
      <c r="AJ135" s="194">
        <v>3.4985568384610522E-3</v>
      </c>
      <c r="AK135" s="194">
        <v>0.28631812437105847</v>
      </c>
      <c r="AO135" s="184" t="s">
        <v>24</v>
      </c>
      <c r="AP135" s="194">
        <v>1789.1078879712156</v>
      </c>
      <c r="AQ135" s="194"/>
      <c r="AR135" s="194"/>
      <c r="AS135" s="194"/>
      <c r="AT135" s="194"/>
      <c r="AU135" s="194">
        <v>132.81042335600407</v>
      </c>
      <c r="AV135" s="194"/>
      <c r="AW135" s="194"/>
      <c r="AX135" s="194">
        <v>136.04800510318287</v>
      </c>
      <c r="AY135" s="194">
        <v>1.2171999406526583E-2</v>
      </c>
      <c r="AZ135" s="194">
        <v>1.0523599312493262E-2</v>
      </c>
      <c r="BA135" s="194">
        <v>5.0247905125916252E-2</v>
      </c>
      <c r="BB135" s="194">
        <v>1.4818589811872845E-2</v>
      </c>
      <c r="BC135" s="194">
        <v>3.4985568384610522E-3</v>
      </c>
      <c r="BD135" s="194">
        <v>0.28631812437105847</v>
      </c>
    </row>
    <row r="136" spans="1:56">
      <c r="A136" s="187"/>
      <c r="C136" s="184" t="s">
        <v>243</v>
      </c>
      <c r="D136" s="192">
        <v>12920.792079207922</v>
      </c>
      <c r="E136" s="192"/>
      <c r="F136" s="192"/>
      <c r="G136" s="192"/>
      <c r="H136" s="192"/>
      <c r="I136" s="192">
        <v>1004.05</v>
      </c>
      <c r="J136" s="193"/>
      <c r="K136" s="193"/>
      <c r="L136" s="192">
        <v>1004.05</v>
      </c>
      <c r="M136" s="193">
        <v>0.3105</v>
      </c>
      <c r="N136" s="193">
        <v>1.39</v>
      </c>
      <c r="O136" s="193">
        <v>5.4060000000000006</v>
      </c>
      <c r="P136" s="193">
        <v>0.13785</v>
      </c>
      <c r="Q136" s="193">
        <v>0.11260000000000001</v>
      </c>
      <c r="R136" s="193">
        <v>9.6499999999999989E-3</v>
      </c>
      <c r="S136" s="193"/>
      <c r="T136" s="193"/>
      <c r="V136" s="184" t="s">
        <v>243</v>
      </c>
      <c r="W136" s="194">
        <v>12794.117647058825</v>
      </c>
      <c r="X136" s="194"/>
      <c r="Y136" s="194"/>
      <c r="Z136" s="194"/>
      <c r="AA136" s="194"/>
      <c r="AB136" s="194">
        <v>997.8</v>
      </c>
      <c r="AC136" s="194"/>
      <c r="AD136" s="194"/>
      <c r="AE136" s="194">
        <v>997.8</v>
      </c>
      <c r="AF136" s="194">
        <v>0.14000000000000001</v>
      </c>
      <c r="AG136" s="194">
        <v>0.16600000000000001</v>
      </c>
      <c r="AH136" s="194">
        <v>0.40500000000000003</v>
      </c>
      <c r="AI136" s="194">
        <v>3.3049999999999996E-2</v>
      </c>
      <c r="AJ136" s="194">
        <v>1.6250000000000001E-2</v>
      </c>
      <c r="AK136" s="194">
        <v>9.5999999999999992E-3</v>
      </c>
      <c r="AO136" s="184" t="s">
        <v>243</v>
      </c>
      <c r="AP136" s="194">
        <v>12794.117647058825</v>
      </c>
      <c r="AQ136" s="194"/>
      <c r="AR136" s="194"/>
      <c r="AS136" s="194"/>
      <c r="AT136" s="194"/>
      <c r="AU136" s="194">
        <v>997.8</v>
      </c>
      <c r="AV136" s="194"/>
      <c r="AW136" s="194"/>
      <c r="AX136" s="194">
        <v>997.8</v>
      </c>
      <c r="AY136" s="194">
        <v>0.14000000000000001</v>
      </c>
      <c r="AZ136" s="194">
        <v>0.16600000000000001</v>
      </c>
      <c r="BA136" s="194">
        <v>0.40500000000000003</v>
      </c>
      <c r="BB136" s="194">
        <v>3.3049999999999996E-2</v>
      </c>
      <c r="BC136" s="194">
        <v>1.6250000000000001E-2</v>
      </c>
      <c r="BD136" s="194">
        <v>9.5999999999999992E-3</v>
      </c>
    </row>
    <row r="137" spans="1:56">
      <c r="A137" s="187"/>
      <c r="C137" s="184" t="s">
        <v>244</v>
      </c>
      <c r="D137" s="192"/>
      <c r="E137" s="192"/>
      <c r="F137" s="192"/>
      <c r="G137" s="192"/>
      <c r="H137" s="192"/>
      <c r="I137" s="192"/>
      <c r="J137" s="193"/>
      <c r="K137" s="193"/>
      <c r="L137" s="192"/>
      <c r="M137" s="193"/>
      <c r="N137" s="193"/>
      <c r="O137" s="193"/>
      <c r="P137" s="193"/>
      <c r="Q137" s="193"/>
      <c r="R137" s="193"/>
      <c r="S137" s="193"/>
      <c r="T137" s="193"/>
      <c r="V137" s="184" t="s">
        <v>244</v>
      </c>
      <c r="W137" s="194"/>
      <c r="X137" s="194"/>
      <c r="Y137" s="194"/>
      <c r="Z137" s="194"/>
      <c r="AA137" s="194"/>
      <c r="AB137" s="194"/>
      <c r="AC137" s="194"/>
      <c r="AD137" s="194"/>
      <c r="AE137" s="194"/>
      <c r="AF137" s="194"/>
      <c r="AG137" s="194"/>
      <c r="AH137" s="194"/>
      <c r="AI137" s="194"/>
      <c r="AJ137" s="194"/>
      <c r="AK137" s="194"/>
      <c r="AO137" s="184" t="s">
        <v>244</v>
      </c>
      <c r="AP137" s="194"/>
      <c r="AQ137" s="194"/>
      <c r="AR137" s="194"/>
      <c r="AS137" s="194"/>
      <c r="AT137" s="194"/>
      <c r="AU137" s="194"/>
      <c r="AV137" s="194"/>
      <c r="AW137" s="194"/>
      <c r="AX137" s="194"/>
      <c r="AY137" s="194"/>
      <c r="AZ137" s="194"/>
      <c r="BA137" s="194"/>
      <c r="BB137" s="194"/>
      <c r="BC137" s="194"/>
      <c r="BD137" s="194"/>
    </row>
    <row r="138" spans="1:56">
      <c r="A138" s="187"/>
      <c r="B138" s="189" t="s">
        <v>2201</v>
      </c>
      <c r="C138" s="184" t="s">
        <v>23</v>
      </c>
      <c r="D138" s="192">
        <v>587.54592256834906</v>
      </c>
      <c r="E138" s="192"/>
      <c r="F138" s="192"/>
      <c r="G138" s="192"/>
      <c r="H138" s="192"/>
      <c r="I138" s="192">
        <v>55.644634590197526</v>
      </c>
      <c r="J138" s="193"/>
      <c r="K138" s="193"/>
      <c r="L138" s="192">
        <v>85.283391085108789</v>
      </c>
      <c r="M138" s="193">
        <v>2.3294446335088113E-2</v>
      </c>
      <c r="N138" s="193">
        <v>0.11119930097708698</v>
      </c>
      <c r="O138" s="193">
        <v>0.92759806205970796</v>
      </c>
      <c r="P138" s="193">
        <v>3.9796068857643266E-2</v>
      </c>
      <c r="Q138" s="193">
        <v>2.0120447617293518E-2</v>
      </c>
      <c r="R138" s="193">
        <v>0.19955466181847456</v>
      </c>
      <c r="S138" s="193"/>
      <c r="T138" s="193"/>
      <c r="U138" s="184" t="s">
        <v>2201</v>
      </c>
      <c r="V138" s="184" t="s">
        <v>23</v>
      </c>
      <c r="W138" s="194">
        <v>581.61111526967886</v>
      </c>
      <c r="X138" s="194"/>
      <c r="Y138" s="194"/>
      <c r="Z138" s="194"/>
      <c r="AA138" s="194"/>
      <c r="AB138" s="194">
        <v>55.349109783084664</v>
      </c>
      <c r="AC138" s="194"/>
      <c r="AD138" s="194"/>
      <c r="AE138" s="194">
        <v>84.83045689143546</v>
      </c>
      <c r="AF138" s="194">
        <v>1.0962092392982641E-2</v>
      </c>
      <c r="AG138" s="194">
        <v>1.3982679177153843E-2</v>
      </c>
      <c r="AH138" s="194">
        <v>7.1806137961293107E-2</v>
      </c>
      <c r="AI138" s="194">
        <v>5.2614994883903353E-3</v>
      </c>
      <c r="AJ138" s="194">
        <v>1.6892610731113593E-3</v>
      </c>
      <c r="AK138" s="194">
        <v>0.19774052852921573</v>
      </c>
      <c r="AN138" s="184" t="s">
        <v>2201</v>
      </c>
      <c r="AO138" s="184" t="s">
        <v>23</v>
      </c>
      <c r="AP138" s="194">
        <v>581.61111526967886</v>
      </c>
      <c r="AQ138" s="194"/>
      <c r="AR138" s="194"/>
      <c r="AS138" s="194"/>
      <c r="AT138" s="194"/>
      <c r="AU138" s="194">
        <v>55.349109783084664</v>
      </c>
      <c r="AV138" s="194"/>
      <c r="AW138" s="194"/>
      <c r="AX138" s="194">
        <v>84.83045689143546</v>
      </c>
      <c r="AY138" s="194">
        <v>1.0962092392982641E-2</v>
      </c>
      <c r="AZ138" s="194">
        <v>1.3982679177153843E-2</v>
      </c>
      <c r="BA138" s="194">
        <v>7.1806137961293107E-2</v>
      </c>
      <c r="BB138" s="194">
        <v>5.2614994883903353E-3</v>
      </c>
      <c r="BC138" s="194">
        <v>1.6892610731113593E-3</v>
      </c>
      <c r="BD138" s="194">
        <v>0.19774052852921573</v>
      </c>
    </row>
    <row r="139" spans="1:56">
      <c r="A139" s="187"/>
      <c r="C139" s="184" t="s">
        <v>24</v>
      </c>
      <c r="D139" s="192">
        <v>1862.1326997251424</v>
      </c>
      <c r="E139" s="192"/>
      <c r="F139" s="192"/>
      <c r="G139" s="192"/>
      <c r="H139" s="192"/>
      <c r="I139" s="192">
        <v>137.84172622517318</v>
      </c>
      <c r="J139" s="193"/>
      <c r="K139" s="193"/>
      <c r="L139" s="192">
        <v>141.20195839332152</v>
      </c>
      <c r="M139" s="193">
        <v>2.8082541487914899E-2</v>
      </c>
      <c r="N139" s="193">
        <v>9.0496614569783917E-2</v>
      </c>
      <c r="O139" s="193">
        <v>0.70440118852441858</v>
      </c>
      <c r="P139" s="193">
        <v>0.13056500312306726</v>
      </c>
      <c r="Q139" s="193">
        <v>5.462054584108117E-2</v>
      </c>
      <c r="R139" s="193">
        <v>0.32807285084183785</v>
      </c>
      <c r="S139" s="193"/>
      <c r="T139" s="193"/>
      <c r="V139" s="184" t="s">
        <v>24</v>
      </c>
      <c r="W139" s="194">
        <v>1843.3232785157977</v>
      </c>
      <c r="X139" s="194"/>
      <c r="Y139" s="194"/>
      <c r="Z139" s="194"/>
      <c r="AA139" s="194"/>
      <c r="AB139" s="194">
        <v>137.10965834738403</v>
      </c>
      <c r="AC139" s="194"/>
      <c r="AD139" s="194"/>
      <c r="AE139" s="194">
        <v>140.45204455480928</v>
      </c>
      <c r="AF139" s="194">
        <v>1.3215313641371717E-2</v>
      </c>
      <c r="AG139" s="194">
        <v>1.1379434196340603E-2</v>
      </c>
      <c r="AH139" s="194">
        <v>5.4528282229235045E-2</v>
      </c>
      <c r="AI139" s="194">
        <v>1.7262199932136298E-2</v>
      </c>
      <c r="AJ139" s="194">
        <v>4.5858006559520246E-3</v>
      </c>
      <c r="AK139" s="194">
        <v>0.32509037037963934</v>
      </c>
      <c r="AO139" s="184" t="s">
        <v>24</v>
      </c>
      <c r="AP139" s="194">
        <v>1843.3232785157977</v>
      </c>
      <c r="AQ139" s="194"/>
      <c r="AR139" s="194"/>
      <c r="AS139" s="194"/>
      <c r="AT139" s="194"/>
      <c r="AU139" s="194">
        <v>137.10965834738403</v>
      </c>
      <c r="AV139" s="194"/>
      <c r="AW139" s="194"/>
      <c r="AX139" s="194">
        <v>140.45204455480928</v>
      </c>
      <c r="AY139" s="194">
        <v>1.3215313641371717E-2</v>
      </c>
      <c r="AZ139" s="194">
        <v>1.1379434196340603E-2</v>
      </c>
      <c r="BA139" s="194">
        <v>5.4528282229235045E-2</v>
      </c>
      <c r="BB139" s="194">
        <v>1.7262199932136298E-2</v>
      </c>
      <c r="BC139" s="194">
        <v>4.5858006559520246E-3</v>
      </c>
      <c r="BD139" s="194">
        <v>0.32509037037963934</v>
      </c>
    </row>
    <row r="140" spans="1:56">
      <c r="A140" s="187"/>
      <c r="C140" s="184" t="s">
        <v>243</v>
      </c>
      <c r="D140" s="192">
        <v>13316.326530612245</v>
      </c>
      <c r="E140" s="192"/>
      <c r="F140" s="192"/>
      <c r="G140" s="192"/>
      <c r="H140" s="192"/>
      <c r="I140" s="192">
        <v>1035.5999999999999</v>
      </c>
      <c r="J140" s="193"/>
      <c r="K140" s="193"/>
      <c r="L140" s="192">
        <v>1035.5999999999999</v>
      </c>
      <c r="M140" s="193">
        <v>0.32300000000000001</v>
      </c>
      <c r="N140" s="193">
        <v>1.4275</v>
      </c>
      <c r="O140" s="193">
        <v>5.6775000000000002</v>
      </c>
      <c r="P140" s="193">
        <v>0.29120000000000001</v>
      </c>
      <c r="Q140" s="193">
        <v>0.25370000000000004</v>
      </c>
      <c r="R140" s="193">
        <v>1.0999999999999999E-2</v>
      </c>
      <c r="S140" s="193"/>
      <c r="T140" s="193"/>
      <c r="V140" s="184" t="s">
        <v>243</v>
      </c>
      <c r="W140" s="194">
        <v>13181.818181818182</v>
      </c>
      <c r="X140" s="194"/>
      <c r="Y140" s="194"/>
      <c r="Z140" s="194"/>
      <c r="AA140" s="194"/>
      <c r="AB140" s="194">
        <v>1030.0999999999999</v>
      </c>
      <c r="AC140" s="194"/>
      <c r="AD140" s="194"/>
      <c r="AE140" s="194">
        <v>1030.0999999999999</v>
      </c>
      <c r="AF140" s="194">
        <v>0.152</v>
      </c>
      <c r="AG140" s="194">
        <v>0.17949999999999999</v>
      </c>
      <c r="AH140" s="194">
        <v>0.4395</v>
      </c>
      <c r="AI140" s="194">
        <v>3.85E-2</v>
      </c>
      <c r="AJ140" s="194">
        <v>2.1299999999999999E-2</v>
      </c>
      <c r="AK140" s="194">
        <v>1.09E-2</v>
      </c>
      <c r="AO140" s="184" t="s">
        <v>243</v>
      </c>
      <c r="AP140" s="194">
        <v>13181.818181818182</v>
      </c>
      <c r="AQ140" s="194"/>
      <c r="AR140" s="194"/>
      <c r="AS140" s="194"/>
      <c r="AT140" s="194"/>
      <c r="AU140" s="194">
        <v>1030.0999999999999</v>
      </c>
      <c r="AV140" s="194"/>
      <c r="AW140" s="194"/>
      <c r="AX140" s="194">
        <v>1030.0999999999999</v>
      </c>
      <c r="AY140" s="194">
        <v>0.152</v>
      </c>
      <c r="AZ140" s="194">
        <v>0.17949999999999999</v>
      </c>
      <c r="BA140" s="194">
        <v>0.4395</v>
      </c>
      <c r="BB140" s="194">
        <v>3.85E-2</v>
      </c>
      <c r="BC140" s="194">
        <v>2.1299999999999999E-2</v>
      </c>
      <c r="BD140" s="194">
        <v>1.09E-2</v>
      </c>
    </row>
    <row r="141" spans="1:56">
      <c r="A141" s="187"/>
      <c r="C141" s="184" t="s">
        <v>244</v>
      </c>
      <c r="D141" s="192"/>
      <c r="E141" s="192"/>
      <c r="F141" s="192"/>
      <c r="G141" s="192"/>
      <c r="H141" s="192"/>
      <c r="I141" s="192"/>
      <c r="J141" s="193"/>
      <c r="K141" s="193"/>
      <c r="L141" s="192"/>
      <c r="M141" s="193"/>
      <c r="N141" s="193"/>
      <c r="O141" s="193"/>
      <c r="P141" s="193"/>
      <c r="Q141" s="193"/>
      <c r="R141" s="193"/>
      <c r="S141" s="193"/>
      <c r="T141" s="193"/>
      <c r="V141" s="184" t="s">
        <v>244</v>
      </c>
      <c r="W141" s="194"/>
      <c r="X141" s="194"/>
      <c r="Y141" s="194"/>
      <c r="Z141" s="194"/>
      <c r="AA141" s="194"/>
      <c r="AB141" s="194"/>
      <c r="AC141" s="194"/>
      <c r="AD141" s="194"/>
      <c r="AE141" s="194"/>
      <c r="AF141" s="194"/>
      <c r="AG141" s="194"/>
      <c r="AH141" s="194"/>
      <c r="AI141" s="194"/>
      <c r="AJ141" s="194"/>
      <c r="AK141" s="194"/>
      <c r="AO141" s="184" t="s">
        <v>244</v>
      </c>
      <c r="AP141" s="194"/>
      <c r="AQ141" s="194"/>
      <c r="AR141" s="194"/>
      <c r="AS141" s="194"/>
      <c r="AT141" s="194"/>
      <c r="AU141" s="194"/>
      <c r="AV141" s="194"/>
      <c r="AW141" s="194"/>
      <c r="AX141" s="194"/>
      <c r="AY141" s="194"/>
      <c r="AZ141" s="194"/>
      <c r="BA141" s="194"/>
      <c r="BB141" s="194"/>
      <c r="BC141" s="194"/>
      <c r="BD141" s="194"/>
    </row>
    <row r="142" spans="1:56">
      <c r="A142" s="187"/>
      <c r="B142" s="189" t="s">
        <v>2202</v>
      </c>
      <c r="C142" s="184" t="s">
        <v>23</v>
      </c>
      <c r="D142" s="192">
        <v>661.83333806549672</v>
      </c>
      <c r="E142" s="192"/>
      <c r="F142" s="192"/>
      <c r="G142" s="192"/>
      <c r="H142" s="192"/>
      <c r="I142" s="192">
        <v>63.202009884820242</v>
      </c>
      <c r="J142" s="193"/>
      <c r="K142" s="193"/>
      <c r="L142" s="192">
        <v>96.866153692409441</v>
      </c>
      <c r="M142" s="193">
        <v>3.367958649686114E-2</v>
      </c>
      <c r="N142" s="193">
        <v>0.13815198618764535</v>
      </c>
      <c r="O142" s="193">
        <v>1.3054993068935439</v>
      </c>
      <c r="P142" s="193">
        <v>4.1326686890629544E-2</v>
      </c>
      <c r="Q142" s="193">
        <v>2.0937320342788682E-2</v>
      </c>
      <c r="R142" s="193">
        <v>0.22858079444661633</v>
      </c>
      <c r="S142" s="193"/>
      <c r="T142" s="193"/>
      <c r="U142" s="184" t="s">
        <v>2202</v>
      </c>
      <c r="V142" s="184" t="s">
        <v>23</v>
      </c>
      <c r="W142" s="194">
        <v>661.83333806549672</v>
      </c>
      <c r="X142" s="194"/>
      <c r="Y142" s="194"/>
      <c r="Z142" s="194"/>
      <c r="AA142" s="194"/>
      <c r="AB142" s="194">
        <v>62.785588565706654</v>
      </c>
      <c r="AC142" s="194"/>
      <c r="AD142" s="194"/>
      <c r="AE142" s="194">
        <v>96.227928237687934</v>
      </c>
      <c r="AF142" s="194">
        <v>1.3414139375623496E-2</v>
      </c>
      <c r="AG142" s="194">
        <v>1.3164750868740945E-2</v>
      </c>
      <c r="AH142" s="194">
        <v>7.6870962254353609E-2</v>
      </c>
      <c r="AI142" s="194">
        <v>5.2614994883903353E-3</v>
      </c>
      <c r="AJ142" s="194">
        <v>1.6892610731113593E-3</v>
      </c>
      <c r="AK142" s="194">
        <v>0.22858079444661633</v>
      </c>
      <c r="AN142" s="184" t="s">
        <v>2202</v>
      </c>
      <c r="AO142" s="184" t="s">
        <v>23</v>
      </c>
      <c r="AP142" s="194">
        <v>661.83333806549672</v>
      </c>
      <c r="AQ142" s="194"/>
      <c r="AR142" s="194"/>
      <c r="AS142" s="194"/>
      <c r="AT142" s="194"/>
      <c r="AU142" s="194">
        <v>62.785588565706654</v>
      </c>
      <c r="AV142" s="194"/>
      <c r="AW142" s="194"/>
      <c r="AX142" s="194">
        <v>96.227928237687934</v>
      </c>
      <c r="AY142" s="194">
        <v>1.3414139375623496E-2</v>
      </c>
      <c r="AZ142" s="194">
        <v>1.3164750868740945E-2</v>
      </c>
      <c r="BA142" s="194">
        <v>7.6870962254353609E-2</v>
      </c>
      <c r="BB142" s="194">
        <v>5.2614994883903353E-3</v>
      </c>
      <c r="BC142" s="194">
        <v>1.6892610731113593E-3</v>
      </c>
      <c r="BD142" s="194">
        <v>0.22858079444661633</v>
      </c>
    </row>
    <row r="143" spans="1:56">
      <c r="A143" s="187"/>
      <c r="C143" s="184" t="s">
        <v>24</v>
      </c>
      <c r="D143" s="192">
        <v>2097.574765207632</v>
      </c>
      <c r="E143" s="192"/>
      <c r="F143" s="192"/>
      <c r="G143" s="192"/>
      <c r="H143" s="192"/>
      <c r="I143" s="192">
        <v>156.56269840899958</v>
      </c>
      <c r="J143" s="193"/>
      <c r="K143" s="193"/>
      <c r="L143" s="192">
        <v>160.37930046363886</v>
      </c>
      <c r="M143" s="193">
        <v>4.0602312306056529E-2</v>
      </c>
      <c r="N143" s="193">
        <v>0.11243134566690842</v>
      </c>
      <c r="O143" s="193">
        <v>0.99137255779909572</v>
      </c>
      <c r="P143" s="193">
        <v>0.13558673401241603</v>
      </c>
      <c r="Q143" s="193">
        <v>5.6838092637151859E-2</v>
      </c>
      <c r="R143" s="193">
        <v>0.37579253823701425</v>
      </c>
      <c r="S143" s="193"/>
      <c r="T143" s="193"/>
      <c r="V143" s="184" t="s">
        <v>24</v>
      </c>
      <c r="W143" s="194">
        <v>2097.574765207632</v>
      </c>
      <c r="X143" s="194"/>
      <c r="Y143" s="194"/>
      <c r="Z143" s="194"/>
      <c r="AA143" s="194"/>
      <c r="AB143" s="194">
        <v>155.53114821756938</v>
      </c>
      <c r="AC143" s="194"/>
      <c r="AD143" s="194"/>
      <c r="AE143" s="194">
        <v>159.32260369118984</v>
      </c>
      <c r="AF143" s="194">
        <v>1.6171370640099603E-2</v>
      </c>
      <c r="AG143" s="194">
        <v>1.0713784842237116E-2</v>
      </c>
      <c r="AH143" s="194">
        <v>5.8374418177144685E-2</v>
      </c>
      <c r="AI143" s="194">
        <v>1.7262199932136298E-2</v>
      </c>
      <c r="AJ143" s="194">
        <v>4.5858006559520246E-3</v>
      </c>
      <c r="AK143" s="194">
        <v>0.37579253823701425</v>
      </c>
      <c r="AO143" s="184" t="s">
        <v>24</v>
      </c>
      <c r="AP143" s="194">
        <v>2097.574765207632</v>
      </c>
      <c r="AQ143" s="194"/>
      <c r="AR143" s="194"/>
      <c r="AS143" s="194"/>
      <c r="AT143" s="194"/>
      <c r="AU143" s="194">
        <v>155.53114821756938</v>
      </c>
      <c r="AV143" s="194"/>
      <c r="AW143" s="194"/>
      <c r="AX143" s="194">
        <v>159.32260369118984</v>
      </c>
      <c r="AY143" s="194">
        <v>1.6171370640099603E-2</v>
      </c>
      <c r="AZ143" s="194">
        <v>1.0713784842237116E-2</v>
      </c>
      <c r="BA143" s="194">
        <v>5.8374418177144685E-2</v>
      </c>
      <c r="BB143" s="194">
        <v>1.7262199932136298E-2</v>
      </c>
      <c r="BC143" s="194">
        <v>4.5858006559520246E-3</v>
      </c>
      <c r="BD143" s="194">
        <v>0.37579253823701425</v>
      </c>
    </row>
    <row r="144" spans="1:56">
      <c r="A144" s="187"/>
      <c r="C144" s="184" t="s">
        <v>243</v>
      </c>
      <c r="D144" s="192">
        <v>15000</v>
      </c>
      <c r="E144" s="192"/>
      <c r="F144" s="192"/>
      <c r="G144" s="192"/>
      <c r="H144" s="192"/>
      <c r="I144" s="192">
        <v>1176.25</v>
      </c>
      <c r="J144" s="193"/>
      <c r="K144" s="193"/>
      <c r="L144" s="192">
        <v>1176.25</v>
      </c>
      <c r="M144" s="193">
        <v>0.46699999999999997</v>
      </c>
      <c r="N144" s="193">
        <v>1.7734999999999999</v>
      </c>
      <c r="O144" s="193">
        <v>7.9904999999999999</v>
      </c>
      <c r="P144" s="193">
        <v>0.3024</v>
      </c>
      <c r="Q144" s="193">
        <v>0.26400000000000001</v>
      </c>
      <c r="R144" s="193">
        <v>1.26E-2</v>
      </c>
      <c r="S144" s="193"/>
      <c r="T144" s="193"/>
      <c r="V144" s="184" t="s">
        <v>243</v>
      </c>
      <c r="W144" s="194">
        <v>15000</v>
      </c>
      <c r="X144" s="194"/>
      <c r="Y144" s="194"/>
      <c r="Z144" s="194"/>
      <c r="AA144" s="194"/>
      <c r="AB144" s="194">
        <v>1168.5</v>
      </c>
      <c r="AC144" s="194"/>
      <c r="AD144" s="194"/>
      <c r="AE144" s="194">
        <v>1168.5</v>
      </c>
      <c r="AF144" s="194">
        <v>0.186</v>
      </c>
      <c r="AG144" s="194">
        <v>0.16900000000000001</v>
      </c>
      <c r="AH144" s="194">
        <v>0.47050000000000003</v>
      </c>
      <c r="AI144" s="194">
        <v>3.85E-2</v>
      </c>
      <c r="AJ144" s="194">
        <v>2.1299999999999999E-2</v>
      </c>
      <c r="AK144" s="194">
        <v>1.26E-2</v>
      </c>
      <c r="AO144" s="184" t="s">
        <v>243</v>
      </c>
      <c r="AP144" s="194">
        <v>15000</v>
      </c>
      <c r="AQ144" s="194"/>
      <c r="AR144" s="194"/>
      <c r="AS144" s="194"/>
      <c r="AT144" s="194"/>
      <c r="AU144" s="194">
        <v>1168.5</v>
      </c>
      <c r="AV144" s="194"/>
      <c r="AW144" s="194"/>
      <c r="AX144" s="194">
        <v>1168.5</v>
      </c>
      <c r="AY144" s="194">
        <v>0.186</v>
      </c>
      <c r="AZ144" s="194">
        <v>0.16900000000000001</v>
      </c>
      <c r="BA144" s="194">
        <v>0.47050000000000003</v>
      </c>
      <c r="BB144" s="194">
        <v>3.85E-2</v>
      </c>
      <c r="BC144" s="194">
        <v>2.1299999999999999E-2</v>
      </c>
      <c r="BD144" s="194">
        <v>1.26E-2</v>
      </c>
    </row>
    <row r="145" spans="1:56">
      <c r="A145" s="187"/>
      <c r="C145" s="184" t="s">
        <v>244</v>
      </c>
      <c r="D145" s="192"/>
      <c r="E145" s="192"/>
      <c r="F145" s="192"/>
      <c r="G145" s="192"/>
      <c r="H145" s="192"/>
      <c r="I145" s="192"/>
      <c r="J145" s="193"/>
      <c r="K145" s="193"/>
      <c r="L145" s="192"/>
      <c r="M145" s="193"/>
      <c r="N145" s="193"/>
      <c r="O145" s="193"/>
      <c r="P145" s="193"/>
      <c r="Q145" s="193"/>
      <c r="R145" s="193"/>
      <c r="S145" s="193"/>
      <c r="T145" s="193"/>
      <c r="V145" s="184" t="s">
        <v>244</v>
      </c>
      <c r="W145" s="194"/>
      <c r="X145" s="194"/>
      <c r="Y145" s="194"/>
      <c r="Z145" s="194"/>
      <c r="AA145" s="194"/>
      <c r="AB145" s="194"/>
      <c r="AC145" s="194"/>
      <c r="AD145" s="194"/>
      <c r="AE145" s="194"/>
      <c r="AF145" s="194"/>
      <c r="AG145" s="194"/>
      <c r="AH145" s="194"/>
      <c r="AI145" s="194"/>
      <c r="AJ145" s="194"/>
      <c r="AK145" s="194"/>
      <c r="AO145" s="184" t="s">
        <v>244</v>
      </c>
      <c r="AP145" s="194"/>
      <c r="AQ145" s="194"/>
      <c r="AR145" s="194"/>
      <c r="AS145" s="194"/>
      <c r="AT145" s="194"/>
      <c r="AU145" s="194"/>
      <c r="AV145" s="194"/>
      <c r="AW145" s="194"/>
      <c r="AX145" s="194"/>
      <c r="AY145" s="194"/>
      <c r="AZ145" s="194"/>
      <c r="BA145" s="194"/>
      <c r="BB145" s="194"/>
      <c r="BC145" s="194"/>
      <c r="BD145" s="194"/>
    </row>
    <row r="146" spans="1:56">
      <c r="A146" s="187"/>
      <c r="B146" s="189" t="s">
        <v>2203</v>
      </c>
      <c r="C146" s="184" t="s">
        <v>23</v>
      </c>
      <c r="D146" s="192">
        <v>767.72667215597608</v>
      </c>
      <c r="E146" s="192"/>
      <c r="F146" s="192"/>
      <c r="G146" s="192"/>
      <c r="H146" s="192"/>
      <c r="I146" s="192">
        <v>72.747461154565897</v>
      </c>
      <c r="J146" s="193"/>
      <c r="K146" s="193"/>
      <c r="L146" s="192">
        <v>111.49592814805794</v>
      </c>
      <c r="M146" s="193">
        <v>4.1937215306048714E-2</v>
      </c>
      <c r="N146" s="193">
        <v>0.17386818898834197</v>
      </c>
      <c r="O146" s="193">
        <v>1.6235212580691007</v>
      </c>
      <c r="P146" s="193">
        <v>5.3387137016615176E-2</v>
      </c>
      <c r="Q146" s="193">
        <v>2.6100273200044526E-2</v>
      </c>
      <c r="R146" s="193">
        <v>0.26395639358716411</v>
      </c>
      <c r="S146" s="193"/>
      <c r="T146" s="193"/>
      <c r="U146" s="184" t="s">
        <v>2203</v>
      </c>
      <c r="V146" s="184" t="s">
        <v>23</v>
      </c>
      <c r="W146" s="194">
        <v>767.72667215597608</v>
      </c>
      <c r="X146" s="194"/>
      <c r="Y146" s="194"/>
      <c r="Z146" s="194"/>
      <c r="AA146" s="194"/>
      <c r="AB146" s="194">
        <v>72.623878053409598</v>
      </c>
      <c r="AC146" s="194"/>
      <c r="AD146" s="194"/>
      <c r="AE146" s="194">
        <v>111.3065193034309</v>
      </c>
      <c r="AF146" s="194">
        <v>1.6659495676177565E-2</v>
      </c>
      <c r="AG146" s="194">
        <v>1.6397515135325259E-2</v>
      </c>
      <c r="AH146" s="194">
        <v>9.5251372995298941E-2</v>
      </c>
      <c r="AI146" s="194">
        <v>9.0470458735439022E-3</v>
      </c>
      <c r="AJ146" s="194">
        <v>2.4347565701651986E-3</v>
      </c>
      <c r="AK146" s="194">
        <v>0.2612351936532758</v>
      </c>
      <c r="AN146" s="184" t="s">
        <v>2203</v>
      </c>
      <c r="AO146" s="184" t="s">
        <v>23</v>
      </c>
      <c r="AP146" s="194">
        <v>767.72667215597608</v>
      </c>
      <c r="AQ146" s="194"/>
      <c r="AR146" s="194"/>
      <c r="AS146" s="194"/>
      <c r="AT146" s="194"/>
      <c r="AU146" s="194">
        <v>72.623878053409598</v>
      </c>
      <c r="AV146" s="194"/>
      <c r="AW146" s="194"/>
      <c r="AX146" s="194">
        <v>111.3065193034309</v>
      </c>
      <c r="AY146" s="194">
        <v>1.6659495676177565E-2</v>
      </c>
      <c r="AZ146" s="194">
        <v>1.6397515135325259E-2</v>
      </c>
      <c r="BA146" s="194">
        <v>9.5251372995298941E-2</v>
      </c>
      <c r="BB146" s="194">
        <v>9.0470458735439022E-3</v>
      </c>
      <c r="BC146" s="194">
        <v>2.4347565701651986E-3</v>
      </c>
      <c r="BD146" s="194">
        <v>0.2612351936532758</v>
      </c>
    </row>
    <row r="147" spans="1:56">
      <c r="A147" s="187"/>
      <c r="C147" s="184" t="s">
        <v>24</v>
      </c>
      <c r="D147" s="192">
        <v>2433.186727640853</v>
      </c>
      <c r="E147" s="192"/>
      <c r="F147" s="192"/>
      <c r="G147" s="192"/>
      <c r="H147" s="192"/>
      <c r="I147" s="192">
        <v>180.20849086158941</v>
      </c>
      <c r="J147" s="193"/>
      <c r="K147" s="193"/>
      <c r="L147" s="192">
        <v>184.601517447584</v>
      </c>
      <c r="M147" s="193">
        <v>5.055726896353719E-2</v>
      </c>
      <c r="N147" s="193">
        <v>0.14149803412942749</v>
      </c>
      <c r="O147" s="193">
        <v>1.2328726746573577</v>
      </c>
      <c r="P147" s="193">
        <v>0.17515528320750764</v>
      </c>
      <c r="Q147" s="193">
        <v>7.085384957154045E-2</v>
      </c>
      <c r="R147" s="193">
        <v>0.43395090724988555</v>
      </c>
      <c r="S147" s="193"/>
      <c r="T147" s="193"/>
      <c r="V147" s="184" t="s">
        <v>24</v>
      </c>
      <c r="W147" s="194">
        <v>2433.186727640853</v>
      </c>
      <c r="X147" s="194"/>
      <c r="Y147" s="194"/>
      <c r="Z147" s="194"/>
      <c r="AA147" s="194"/>
      <c r="AB147" s="194">
        <v>179.90235338542303</v>
      </c>
      <c r="AC147" s="194"/>
      <c r="AD147" s="194"/>
      <c r="AE147" s="194">
        <v>184.28791711511525</v>
      </c>
      <c r="AF147" s="194">
        <v>2.0083799020768862E-2</v>
      </c>
      <c r="AG147" s="194">
        <v>1.3344684670360429E-2</v>
      </c>
      <c r="AH147" s="194">
        <v>7.2332169601010299E-2</v>
      </c>
      <c r="AI147" s="194">
        <v>2.9682016506686313E-2</v>
      </c>
      <c r="AJ147" s="194">
        <v>6.6095812271233408E-3</v>
      </c>
      <c r="AK147" s="194">
        <v>0.42947718655658773</v>
      </c>
      <c r="AO147" s="184" t="s">
        <v>24</v>
      </c>
      <c r="AP147" s="194">
        <v>2433.186727640853</v>
      </c>
      <c r="AQ147" s="194"/>
      <c r="AR147" s="194"/>
      <c r="AS147" s="194"/>
      <c r="AT147" s="194"/>
      <c r="AU147" s="194">
        <v>179.90235338542303</v>
      </c>
      <c r="AV147" s="194"/>
      <c r="AW147" s="194"/>
      <c r="AX147" s="194">
        <v>184.28791711511525</v>
      </c>
      <c r="AY147" s="194">
        <v>2.0083799020768862E-2</v>
      </c>
      <c r="AZ147" s="194">
        <v>1.3344684670360429E-2</v>
      </c>
      <c r="BA147" s="194">
        <v>7.2332169601010299E-2</v>
      </c>
      <c r="BB147" s="194">
        <v>2.9682016506686313E-2</v>
      </c>
      <c r="BC147" s="194">
        <v>6.6095812271233408E-3</v>
      </c>
      <c r="BD147" s="194">
        <v>0.42947718655658773</v>
      </c>
    </row>
    <row r="148" spans="1:56">
      <c r="A148" s="187"/>
      <c r="C148" s="184" t="s">
        <v>243</v>
      </c>
      <c r="D148" s="192">
        <v>17400</v>
      </c>
      <c r="E148" s="192"/>
      <c r="F148" s="192"/>
      <c r="G148" s="192"/>
      <c r="H148" s="192"/>
      <c r="I148" s="192">
        <v>1353.9</v>
      </c>
      <c r="J148" s="193"/>
      <c r="K148" s="193"/>
      <c r="L148" s="192">
        <v>1353.9</v>
      </c>
      <c r="M148" s="193">
        <v>0.58149999999999991</v>
      </c>
      <c r="N148" s="193">
        <v>2.2320000000000002</v>
      </c>
      <c r="O148" s="193">
        <v>9.9370000000000012</v>
      </c>
      <c r="P148" s="193">
        <v>0.39065</v>
      </c>
      <c r="Q148" s="193">
        <v>0.3291</v>
      </c>
      <c r="R148" s="193">
        <v>1.455E-2</v>
      </c>
      <c r="S148" s="193"/>
      <c r="T148" s="193"/>
      <c r="V148" s="184" t="s">
        <v>243</v>
      </c>
      <c r="W148" s="194">
        <v>17400</v>
      </c>
      <c r="X148" s="194"/>
      <c r="Y148" s="194"/>
      <c r="Z148" s="194"/>
      <c r="AA148" s="194"/>
      <c r="AB148" s="194">
        <v>1351.6</v>
      </c>
      <c r="AC148" s="194"/>
      <c r="AD148" s="194"/>
      <c r="AE148" s="194">
        <v>1351.6</v>
      </c>
      <c r="AF148" s="194">
        <v>0.23100000000000001</v>
      </c>
      <c r="AG148" s="194">
        <v>0.21049999999999999</v>
      </c>
      <c r="AH148" s="194">
        <v>0.58299999999999996</v>
      </c>
      <c r="AI148" s="194">
        <v>6.6200000000000009E-2</v>
      </c>
      <c r="AJ148" s="194">
        <v>3.0699999999999998E-2</v>
      </c>
      <c r="AK148" s="194">
        <v>1.44E-2</v>
      </c>
      <c r="AO148" s="184" t="s">
        <v>243</v>
      </c>
      <c r="AP148" s="194">
        <v>17400</v>
      </c>
      <c r="AQ148" s="194"/>
      <c r="AR148" s="194"/>
      <c r="AS148" s="194"/>
      <c r="AT148" s="194"/>
      <c r="AU148" s="194">
        <v>1351.6</v>
      </c>
      <c r="AV148" s="194"/>
      <c r="AW148" s="194"/>
      <c r="AX148" s="194">
        <v>1351.6</v>
      </c>
      <c r="AY148" s="194">
        <v>0.23100000000000001</v>
      </c>
      <c r="AZ148" s="194">
        <v>0.21049999999999999</v>
      </c>
      <c r="BA148" s="194">
        <v>0.58299999999999996</v>
      </c>
      <c r="BB148" s="194">
        <v>6.6200000000000009E-2</v>
      </c>
      <c r="BC148" s="194">
        <v>3.0699999999999998E-2</v>
      </c>
      <c r="BD148" s="194">
        <v>1.44E-2</v>
      </c>
    </row>
    <row r="149" spans="1:56">
      <c r="A149" s="187"/>
      <c r="C149" s="184" t="s">
        <v>244</v>
      </c>
      <c r="D149" s="192"/>
      <c r="E149" s="192"/>
      <c r="F149" s="192"/>
      <c r="G149" s="192"/>
      <c r="H149" s="192"/>
      <c r="I149" s="192"/>
      <c r="J149" s="193"/>
      <c r="K149" s="193"/>
      <c r="L149" s="192"/>
      <c r="M149" s="193"/>
      <c r="N149" s="193"/>
      <c r="O149" s="193"/>
      <c r="P149" s="193"/>
      <c r="Q149" s="193"/>
      <c r="R149" s="193"/>
      <c r="S149" s="193"/>
      <c r="T149" s="193"/>
      <c r="V149" s="184" t="s">
        <v>244</v>
      </c>
      <c r="W149" s="194"/>
      <c r="X149" s="194"/>
      <c r="Y149" s="194"/>
      <c r="Z149" s="194"/>
      <c r="AA149" s="194"/>
      <c r="AB149" s="194"/>
      <c r="AC149" s="194"/>
      <c r="AD149" s="194"/>
      <c r="AE149" s="194"/>
      <c r="AF149" s="194"/>
      <c r="AG149" s="194"/>
      <c r="AH149" s="194"/>
      <c r="AI149" s="194"/>
      <c r="AJ149" s="194"/>
      <c r="AK149" s="194"/>
      <c r="AO149" s="184" t="s">
        <v>244</v>
      </c>
      <c r="AP149" s="194"/>
      <c r="AQ149" s="194"/>
      <c r="AR149" s="194"/>
      <c r="AS149" s="194"/>
      <c r="AT149" s="194"/>
      <c r="AU149" s="194"/>
      <c r="AV149" s="194"/>
      <c r="AW149" s="194"/>
      <c r="AX149" s="194"/>
      <c r="AY149" s="194"/>
      <c r="AZ149" s="194"/>
      <c r="BA149" s="194"/>
      <c r="BB149" s="194"/>
      <c r="BC149" s="194"/>
      <c r="BD149" s="194"/>
    </row>
    <row r="150" spans="1:56">
      <c r="A150" s="187"/>
      <c r="B150" s="189" t="s">
        <v>2204</v>
      </c>
      <c r="C150" s="184" t="s">
        <v>23</v>
      </c>
      <c r="D150" s="192">
        <v>885.83846787228015</v>
      </c>
      <c r="E150" s="192"/>
      <c r="F150" s="192"/>
      <c r="G150" s="192"/>
      <c r="H150" s="192"/>
      <c r="I150" s="192">
        <v>83.883373204409892</v>
      </c>
      <c r="J150" s="193"/>
      <c r="K150" s="193"/>
      <c r="L150" s="192">
        <v>128.5633120823847</v>
      </c>
      <c r="M150" s="193">
        <v>4.0278477641321087E-2</v>
      </c>
      <c r="N150" s="193">
        <v>0.25277879626665306</v>
      </c>
      <c r="O150" s="193">
        <v>2.1053330916250808</v>
      </c>
      <c r="P150" s="193">
        <v>5.8033656045323526E-2</v>
      </c>
      <c r="Q150" s="193">
        <v>2.8582614589170611E-2</v>
      </c>
      <c r="R150" s="193">
        <v>0.27846945990123495</v>
      </c>
      <c r="S150" s="193"/>
      <c r="T150" s="193"/>
      <c r="U150" s="184" t="s">
        <v>2204</v>
      </c>
      <c r="V150" s="184" t="s">
        <v>23</v>
      </c>
      <c r="W150" s="194">
        <v>872.41667290451824</v>
      </c>
      <c r="X150" s="194"/>
      <c r="Y150" s="194"/>
      <c r="Z150" s="194"/>
      <c r="AA150" s="194"/>
      <c r="AB150" s="194">
        <v>82.98336583729342</v>
      </c>
      <c r="AC150" s="194"/>
      <c r="AD150" s="194"/>
      <c r="AE150" s="194">
        <v>127.18392158347049</v>
      </c>
      <c r="AF150" s="194">
        <v>1.9039423629917219E-2</v>
      </c>
      <c r="AG150" s="194">
        <v>2.146088085407178E-2</v>
      </c>
      <c r="AH150" s="194">
        <v>0.10407397015095271</v>
      </c>
      <c r="AI150" s="194">
        <v>9.1632088492616098E-3</v>
      </c>
      <c r="AJ150" s="194">
        <v>2.4942375938663036E-3</v>
      </c>
      <c r="AK150" s="194">
        <v>0.27393412667808786</v>
      </c>
      <c r="AN150" s="184" t="s">
        <v>2204</v>
      </c>
      <c r="AO150" s="184" t="s">
        <v>23</v>
      </c>
      <c r="AP150" s="194">
        <v>872.41667290451824</v>
      </c>
      <c r="AQ150" s="194"/>
      <c r="AR150" s="194"/>
      <c r="AS150" s="194"/>
      <c r="AT150" s="194"/>
      <c r="AU150" s="194">
        <v>82.98336583729342</v>
      </c>
      <c r="AV150" s="194"/>
      <c r="AW150" s="194"/>
      <c r="AX150" s="194">
        <v>127.18392158347049</v>
      </c>
      <c r="AY150" s="194">
        <v>1.9039423629917219E-2</v>
      </c>
      <c r="AZ150" s="194">
        <v>2.146088085407178E-2</v>
      </c>
      <c r="BA150" s="194">
        <v>0.10407397015095271</v>
      </c>
      <c r="BB150" s="194">
        <v>9.1632088492616098E-3</v>
      </c>
      <c r="BC150" s="194">
        <v>2.4942375938663036E-3</v>
      </c>
      <c r="BD150" s="194">
        <v>0.27393412667808786</v>
      </c>
    </row>
    <row r="151" spans="1:56">
      <c r="A151" s="187"/>
      <c r="C151" s="184" t="s">
        <v>24</v>
      </c>
      <c r="D151" s="192">
        <v>2807.5231472779074</v>
      </c>
      <c r="E151" s="192"/>
      <c r="F151" s="192"/>
      <c r="G151" s="192"/>
      <c r="H151" s="192"/>
      <c r="I151" s="192">
        <v>207.79413952918998</v>
      </c>
      <c r="J151" s="193"/>
      <c r="K151" s="193"/>
      <c r="L151" s="192">
        <v>212.85963436243134</v>
      </c>
      <c r="M151" s="193">
        <v>4.8557583346750685E-2</v>
      </c>
      <c r="N151" s="193">
        <v>0.20571734800626887</v>
      </c>
      <c r="O151" s="193">
        <v>1.5987518653149551</v>
      </c>
      <c r="P151" s="193">
        <v>0.19039982340731632</v>
      </c>
      <c r="Q151" s="193">
        <v>7.7592608281930042E-2</v>
      </c>
      <c r="R151" s="193">
        <v>0.45781075094747375</v>
      </c>
      <c r="S151" s="193"/>
      <c r="T151" s="193"/>
      <c r="V151" s="184" t="s">
        <v>24</v>
      </c>
      <c r="W151" s="194">
        <v>2764.9849177736965</v>
      </c>
      <c r="X151" s="194"/>
      <c r="Y151" s="194"/>
      <c r="Z151" s="194"/>
      <c r="AA151" s="194"/>
      <c r="AB151" s="194">
        <v>205.56466008319572</v>
      </c>
      <c r="AC151" s="194"/>
      <c r="AD151" s="194"/>
      <c r="AE151" s="194">
        <v>210.575805854235</v>
      </c>
      <c r="AF151" s="194">
        <v>2.2952913166592984E-2</v>
      </c>
      <c r="AG151" s="194">
        <v>1.7465371148143935E-2</v>
      </c>
      <c r="AH151" s="194">
        <v>7.9031890284465806E-2</v>
      </c>
      <c r="AI151" s="194">
        <v>3.0063130011681528E-2</v>
      </c>
      <c r="AJ151" s="194">
        <v>6.7710530812061598E-3</v>
      </c>
      <c r="AK151" s="194">
        <v>0.45035454979197748</v>
      </c>
      <c r="AO151" s="184" t="s">
        <v>24</v>
      </c>
      <c r="AP151" s="194">
        <v>2764.9849177736965</v>
      </c>
      <c r="AQ151" s="194"/>
      <c r="AR151" s="194"/>
      <c r="AS151" s="194"/>
      <c r="AT151" s="194"/>
      <c r="AU151" s="194">
        <v>205.56466008319572</v>
      </c>
      <c r="AV151" s="194"/>
      <c r="AW151" s="194"/>
      <c r="AX151" s="194">
        <v>210.575805854235</v>
      </c>
      <c r="AY151" s="194">
        <v>2.2952913166592984E-2</v>
      </c>
      <c r="AZ151" s="194">
        <v>1.7465371148143935E-2</v>
      </c>
      <c r="BA151" s="194">
        <v>7.9031890284465806E-2</v>
      </c>
      <c r="BB151" s="194">
        <v>3.0063130011681528E-2</v>
      </c>
      <c r="BC151" s="194">
        <v>6.7710530812061598E-3</v>
      </c>
      <c r="BD151" s="194">
        <v>0.45035454979197748</v>
      </c>
    </row>
    <row r="152" spans="1:56">
      <c r="A152" s="187"/>
      <c r="C152" s="184" t="s">
        <v>243</v>
      </c>
      <c r="D152" s="192">
        <v>20076.923076923078</v>
      </c>
      <c r="E152" s="192"/>
      <c r="F152" s="192"/>
      <c r="G152" s="192"/>
      <c r="H152" s="192"/>
      <c r="I152" s="192">
        <v>1561.15</v>
      </c>
      <c r="J152" s="193"/>
      <c r="K152" s="193"/>
      <c r="L152" s="192">
        <v>1561.15</v>
      </c>
      <c r="M152" s="193">
        <v>0.5585</v>
      </c>
      <c r="N152" s="193">
        <v>3.2450000000000001</v>
      </c>
      <c r="O152" s="193">
        <v>12.885999999999999</v>
      </c>
      <c r="P152" s="193">
        <v>0.42464999999999997</v>
      </c>
      <c r="Q152" s="193">
        <v>0.3604</v>
      </c>
      <c r="R152" s="193">
        <v>1.5349999999999999E-2</v>
      </c>
      <c r="S152" s="193"/>
      <c r="T152" s="193"/>
      <c r="V152" s="184" t="s">
        <v>243</v>
      </c>
      <c r="W152" s="194">
        <v>19772.727272727272</v>
      </c>
      <c r="X152" s="194"/>
      <c r="Y152" s="194"/>
      <c r="Z152" s="194"/>
      <c r="AA152" s="194"/>
      <c r="AB152" s="194">
        <v>1544.4</v>
      </c>
      <c r="AC152" s="194"/>
      <c r="AD152" s="194"/>
      <c r="AE152" s="194">
        <v>1544.4</v>
      </c>
      <c r="AF152" s="194">
        <v>0.26400000000000001</v>
      </c>
      <c r="AG152" s="194">
        <v>0.27550000000000002</v>
      </c>
      <c r="AH152" s="194">
        <v>0.63700000000000001</v>
      </c>
      <c r="AI152" s="194">
        <v>6.7049999999999998E-2</v>
      </c>
      <c r="AJ152" s="194">
        <v>3.1450000000000006E-2</v>
      </c>
      <c r="AK152" s="194">
        <v>1.5100000000000001E-2</v>
      </c>
      <c r="AO152" s="184" t="s">
        <v>243</v>
      </c>
      <c r="AP152" s="194">
        <v>19772.727272727272</v>
      </c>
      <c r="AQ152" s="194"/>
      <c r="AR152" s="194"/>
      <c r="AS152" s="194"/>
      <c r="AT152" s="194"/>
      <c r="AU152" s="194">
        <v>1544.4</v>
      </c>
      <c r="AV152" s="194"/>
      <c r="AW152" s="194"/>
      <c r="AX152" s="194">
        <v>1544.4</v>
      </c>
      <c r="AY152" s="194">
        <v>0.26400000000000001</v>
      </c>
      <c r="AZ152" s="194">
        <v>0.27550000000000002</v>
      </c>
      <c r="BA152" s="194">
        <v>0.63700000000000001</v>
      </c>
      <c r="BB152" s="194">
        <v>6.7049999999999998E-2</v>
      </c>
      <c r="BC152" s="194">
        <v>3.1450000000000006E-2</v>
      </c>
      <c r="BD152" s="194">
        <v>1.5100000000000001E-2</v>
      </c>
    </row>
    <row r="153" spans="1:56">
      <c r="A153" s="187"/>
      <c r="C153" s="184" t="s">
        <v>244</v>
      </c>
      <c r="D153" s="192"/>
      <c r="E153" s="192"/>
      <c r="F153" s="192"/>
      <c r="G153" s="192"/>
      <c r="H153" s="192"/>
      <c r="I153" s="192"/>
      <c r="J153" s="193"/>
      <c r="K153" s="193"/>
      <c r="L153" s="192"/>
      <c r="M153" s="193"/>
      <c r="N153" s="193"/>
      <c r="O153" s="193"/>
      <c r="P153" s="193"/>
      <c r="Q153" s="193"/>
      <c r="R153" s="193"/>
      <c r="S153" s="193"/>
      <c r="T153" s="193"/>
      <c r="V153" s="184" t="s">
        <v>244</v>
      </c>
      <c r="W153" s="194"/>
      <c r="X153" s="194"/>
      <c r="Y153" s="194"/>
      <c r="Z153" s="194"/>
      <c r="AA153" s="194"/>
      <c r="AB153" s="194"/>
      <c r="AC153" s="194"/>
      <c r="AD153" s="194"/>
      <c r="AE153" s="194"/>
      <c r="AF153" s="194"/>
      <c r="AG153" s="194"/>
      <c r="AH153" s="194"/>
      <c r="AI153" s="194"/>
      <c r="AJ153" s="194"/>
      <c r="AK153" s="194"/>
      <c r="AO153" s="184" t="s">
        <v>244</v>
      </c>
      <c r="AP153" s="194"/>
      <c r="AQ153" s="194"/>
      <c r="AR153" s="194"/>
      <c r="AS153" s="194"/>
      <c r="AT153" s="194"/>
      <c r="AU153" s="194"/>
      <c r="AV153" s="194"/>
      <c r="AW153" s="194"/>
      <c r="AX153" s="194"/>
      <c r="AY153" s="194"/>
      <c r="AZ153" s="194"/>
      <c r="BA153" s="194"/>
      <c r="BB153" s="194"/>
      <c r="BC153" s="194"/>
      <c r="BD153" s="194"/>
    </row>
    <row r="154" spans="1:56">
      <c r="A154" s="187"/>
      <c r="B154" s="189" t="s">
        <v>2205</v>
      </c>
      <c r="C154" s="184" t="s">
        <v>23</v>
      </c>
      <c r="D154" s="192">
        <v>928.70161954351943</v>
      </c>
      <c r="E154" s="192"/>
      <c r="F154" s="192"/>
      <c r="G154" s="192"/>
      <c r="H154" s="192"/>
      <c r="I154" s="192">
        <v>88.47206748212605</v>
      </c>
      <c r="J154" s="193"/>
      <c r="K154" s="193"/>
      <c r="L154" s="192">
        <v>135.59614483505783</v>
      </c>
      <c r="M154" s="193">
        <v>4.7670678103694249E-2</v>
      </c>
      <c r="N154" s="193">
        <v>0.32639234402381395</v>
      </c>
      <c r="O154" s="193">
        <v>2.4670595750068851</v>
      </c>
      <c r="P154" s="193">
        <v>0</v>
      </c>
      <c r="Q154" s="193">
        <v>0</v>
      </c>
      <c r="R154" s="193">
        <v>0</v>
      </c>
      <c r="S154" s="193"/>
      <c r="T154" s="193"/>
      <c r="U154" s="184" t="s">
        <v>2205</v>
      </c>
      <c r="V154" s="184" t="s">
        <v>23</v>
      </c>
      <c r="W154" s="194">
        <v>913.96032399520959</v>
      </c>
      <c r="X154" s="194"/>
      <c r="Y154" s="194"/>
      <c r="Z154" s="194"/>
      <c r="AA154" s="194"/>
      <c r="AB154" s="194">
        <v>86.803695616516137</v>
      </c>
      <c r="AC154" s="194"/>
      <c r="AD154" s="194"/>
      <c r="AE154" s="194">
        <v>133.03912543259295</v>
      </c>
      <c r="AF154" s="194">
        <v>2.1058756439150863E-2</v>
      </c>
      <c r="AG154" s="194">
        <v>2.500523685719434E-2</v>
      </c>
      <c r="AH154" s="194">
        <v>0.12269945303511062</v>
      </c>
      <c r="AI154" s="194">
        <v>0</v>
      </c>
      <c r="AJ154" s="194">
        <v>0</v>
      </c>
      <c r="AK154" s="194">
        <v>0</v>
      </c>
      <c r="AN154" s="184" t="s">
        <v>2205</v>
      </c>
      <c r="AO154" s="184" t="s">
        <v>23</v>
      </c>
      <c r="AP154" s="194">
        <v>913.96032399520959</v>
      </c>
      <c r="AQ154" s="194"/>
      <c r="AR154" s="194"/>
      <c r="AS154" s="194"/>
      <c r="AT154" s="194"/>
      <c r="AU154" s="194">
        <v>86.803695616516137</v>
      </c>
      <c r="AV154" s="194"/>
      <c r="AW154" s="194"/>
      <c r="AX154" s="194">
        <v>133.03912543259295</v>
      </c>
      <c r="AY154" s="194">
        <v>2.1058756439150863E-2</v>
      </c>
      <c r="AZ154" s="194">
        <v>2.500523685719434E-2</v>
      </c>
      <c r="BA154" s="194">
        <v>0.12269945303511062</v>
      </c>
      <c r="BB154" s="194">
        <v>0</v>
      </c>
      <c r="BC154" s="194">
        <v>0</v>
      </c>
      <c r="BD154" s="194">
        <v>0</v>
      </c>
    </row>
    <row r="155" spans="1:56">
      <c r="A155" s="187"/>
      <c r="C155" s="184" t="s">
        <v>24</v>
      </c>
      <c r="D155" s="192">
        <v>2943.3710415010319</v>
      </c>
      <c r="E155" s="192"/>
      <c r="F155" s="192"/>
      <c r="G155" s="192"/>
      <c r="H155" s="192"/>
      <c r="I155" s="192">
        <v>219.161157122498</v>
      </c>
      <c r="J155" s="193"/>
      <c r="K155" s="193"/>
      <c r="L155" s="192">
        <v>224.5037510549667</v>
      </c>
      <c r="M155" s="193">
        <v>5.746922576938622E-2</v>
      </c>
      <c r="N155" s="193">
        <v>0.26562578987558289</v>
      </c>
      <c r="O155" s="193">
        <v>1.8734404133366305</v>
      </c>
      <c r="P155" s="193">
        <v>0</v>
      </c>
      <c r="Q155" s="193">
        <v>0</v>
      </c>
      <c r="R155" s="193">
        <v>0</v>
      </c>
      <c r="S155" s="193"/>
      <c r="T155" s="193"/>
      <c r="V155" s="184" t="s">
        <v>24</v>
      </c>
      <c r="W155" s="194">
        <v>2896.6508662391107</v>
      </c>
      <c r="X155" s="194"/>
      <c r="Y155" s="194"/>
      <c r="Z155" s="194"/>
      <c r="AA155" s="194"/>
      <c r="AB155" s="194">
        <v>215.02830119425192</v>
      </c>
      <c r="AC155" s="194"/>
      <c r="AD155" s="194"/>
      <c r="AE155" s="194">
        <v>220.27014656663857</v>
      </c>
      <c r="AF155" s="194">
        <v>2.5387313047898298E-2</v>
      </c>
      <c r="AG155" s="194">
        <v>2.0349851682592391E-2</v>
      </c>
      <c r="AH155" s="194">
        <v>9.3175745060649628E-2</v>
      </c>
      <c r="AI155" s="194">
        <v>0</v>
      </c>
      <c r="AJ155" s="194">
        <v>0</v>
      </c>
      <c r="AK155" s="194">
        <v>0</v>
      </c>
      <c r="AO155" s="184" t="s">
        <v>24</v>
      </c>
      <c r="AP155" s="194">
        <v>2896.6508662391107</v>
      </c>
      <c r="AQ155" s="194"/>
      <c r="AR155" s="194"/>
      <c r="AS155" s="194"/>
      <c r="AT155" s="194"/>
      <c r="AU155" s="194">
        <v>215.02830119425192</v>
      </c>
      <c r="AV155" s="194"/>
      <c r="AW155" s="194"/>
      <c r="AX155" s="194">
        <v>220.27014656663857</v>
      </c>
      <c r="AY155" s="194">
        <v>2.5387313047898298E-2</v>
      </c>
      <c r="AZ155" s="194">
        <v>2.0349851682592391E-2</v>
      </c>
      <c r="BA155" s="194">
        <v>9.3175745060649628E-2</v>
      </c>
      <c r="BB155" s="194">
        <v>0</v>
      </c>
      <c r="BC155" s="194">
        <v>0</v>
      </c>
      <c r="BD155" s="194">
        <v>0</v>
      </c>
    </row>
    <row r="156" spans="1:56">
      <c r="A156" s="187"/>
      <c r="C156" s="184" t="s">
        <v>243</v>
      </c>
      <c r="D156" s="192">
        <v>21048.387096774193</v>
      </c>
      <c r="E156" s="192"/>
      <c r="F156" s="192"/>
      <c r="G156" s="192"/>
      <c r="H156" s="192"/>
      <c r="I156" s="192">
        <v>1646.55</v>
      </c>
      <c r="J156" s="193"/>
      <c r="K156" s="193"/>
      <c r="L156" s="192">
        <v>1646.55</v>
      </c>
      <c r="M156" s="193">
        <v>0.66100000000000003</v>
      </c>
      <c r="N156" s="193">
        <v>4.1900000000000004</v>
      </c>
      <c r="O156" s="193">
        <v>15.1</v>
      </c>
      <c r="P156" s="193">
        <v>0</v>
      </c>
      <c r="Q156" s="193">
        <v>0</v>
      </c>
      <c r="R156" s="193">
        <v>0</v>
      </c>
      <c r="S156" s="193"/>
      <c r="T156" s="193"/>
      <c r="V156" s="184" t="s">
        <v>243</v>
      </c>
      <c r="W156" s="194">
        <v>20714.285714285714</v>
      </c>
      <c r="X156" s="194"/>
      <c r="Y156" s="194"/>
      <c r="Z156" s="194"/>
      <c r="AA156" s="194"/>
      <c r="AB156" s="194">
        <v>1615.5</v>
      </c>
      <c r="AC156" s="194"/>
      <c r="AD156" s="194"/>
      <c r="AE156" s="194">
        <v>1615.5</v>
      </c>
      <c r="AF156" s="194">
        <v>0.29199999999999998</v>
      </c>
      <c r="AG156" s="194">
        <v>0.32100000000000001</v>
      </c>
      <c r="AH156" s="194">
        <v>0.751</v>
      </c>
      <c r="AI156" s="194">
        <v>0</v>
      </c>
      <c r="AJ156" s="194">
        <v>0</v>
      </c>
      <c r="AK156" s="194">
        <v>0</v>
      </c>
      <c r="AO156" s="184" t="s">
        <v>243</v>
      </c>
      <c r="AP156" s="194">
        <v>20714.285714285714</v>
      </c>
      <c r="AQ156" s="194"/>
      <c r="AR156" s="194"/>
      <c r="AS156" s="194"/>
      <c r="AT156" s="194"/>
      <c r="AU156" s="194">
        <v>1615.5</v>
      </c>
      <c r="AV156" s="194"/>
      <c r="AW156" s="194"/>
      <c r="AX156" s="194">
        <v>1615.5</v>
      </c>
      <c r="AY156" s="194">
        <v>0.29199999999999998</v>
      </c>
      <c r="AZ156" s="194">
        <v>0.32100000000000001</v>
      </c>
      <c r="BA156" s="194">
        <v>0.751</v>
      </c>
      <c r="BB156" s="194">
        <v>0</v>
      </c>
      <c r="BC156" s="194">
        <v>0</v>
      </c>
      <c r="BD156" s="194">
        <v>0</v>
      </c>
    </row>
    <row r="157" spans="1:56">
      <c r="A157" s="187"/>
      <c r="C157" s="184" t="s">
        <v>244</v>
      </c>
      <c r="D157" s="192"/>
      <c r="E157" s="192"/>
      <c r="F157" s="192"/>
      <c r="G157" s="192"/>
      <c r="H157" s="192"/>
      <c r="I157" s="192"/>
      <c r="J157" s="193"/>
      <c r="K157" s="193"/>
      <c r="L157" s="192"/>
      <c r="M157" s="193"/>
      <c r="N157" s="193"/>
      <c r="O157" s="193"/>
      <c r="P157" s="193"/>
      <c r="Q157" s="193"/>
      <c r="R157" s="193"/>
      <c r="S157" s="193"/>
      <c r="T157" s="193"/>
      <c r="V157" s="184" t="s">
        <v>244</v>
      </c>
      <c r="W157" s="194"/>
      <c r="X157" s="194"/>
      <c r="Y157" s="194"/>
      <c r="Z157" s="194"/>
      <c r="AA157" s="194"/>
      <c r="AB157" s="194"/>
      <c r="AC157" s="194"/>
      <c r="AD157" s="194"/>
      <c r="AE157" s="194"/>
      <c r="AF157" s="194"/>
      <c r="AG157" s="194"/>
      <c r="AH157" s="194"/>
      <c r="AI157" s="194"/>
      <c r="AJ157" s="194"/>
      <c r="AK157" s="194"/>
      <c r="AO157" s="184" t="s">
        <v>244</v>
      </c>
      <c r="AP157" s="194"/>
      <c r="AQ157" s="194"/>
      <c r="AR157" s="194"/>
      <c r="AS157" s="194"/>
      <c r="AT157" s="194"/>
      <c r="AU157" s="194"/>
      <c r="AV157" s="194"/>
      <c r="AW157" s="194"/>
      <c r="AX157" s="194"/>
      <c r="AY157" s="194"/>
      <c r="AZ157" s="194"/>
      <c r="BA157" s="194"/>
      <c r="BB157" s="194"/>
      <c r="BC157" s="194"/>
      <c r="BD157" s="194"/>
    </row>
    <row r="158" spans="1:56">
      <c r="A158" s="187"/>
      <c r="B158" s="189" t="s">
        <v>2206</v>
      </c>
      <c r="C158" s="184" t="s">
        <v>23</v>
      </c>
      <c r="D158" s="192">
        <v>551.94084534593514</v>
      </c>
      <c r="E158" s="192"/>
      <c r="F158" s="192"/>
      <c r="G158" s="192"/>
      <c r="H158" s="192"/>
      <c r="I158" s="192">
        <v>12.742767457421554</v>
      </c>
      <c r="J158" s="193"/>
      <c r="K158" s="193"/>
      <c r="L158" s="192">
        <v>39.183171168088251</v>
      </c>
      <c r="M158" s="193">
        <v>5.6866015710979399E-2</v>
      </c>
      <c r="N158" s="193">
        <v>0.10722689101794781</v>
      </c>
      <c r="O158" s="193">
        <v>0.81081530655613743</v>
      </c>
      <c r="P158" s="193">
        <v>4.2374898430442551E-2</v>
      </c>
      <c r="Q158" s="193">
        <v>2.379304201550193E-2</v>
      </c>
      <c r="R158" s="193">
        <v>0.42193268160068265</v>
      </c>
      <c r="S158" s="193"/>
      <c r="T158" s="193"/>
      <c r="U158" s="184" t="s">
        <v>2206</v>
      </c>
      <c r="V158" s="184" t="s">
        <v>23</v>
      </c>
      <c r="W158" s="194">
        <v>546.47608450092594</v>
      </c>
      <c r="X158" s="194"/>
      <c r="Y158" s="194"/>
      <c r="Z158" s="194"/>
      <c r="AA158" s="194"/>
      <c r="AB158" s="194">
        <v>12.561998632873578</v>
      </c>
      <c r="AC158" s="194"/>
      <c r="AD158" s="194"/>
      <c r="AE158" s="194">
        <v>38.62731893129709</v>
      </c>
      <c r="AF158" s="194">
        <v>1.1093872448220654E-2</v>
      </c>
      <c r="AG158" s="194">
        <v>5.1582633179088538E-2</v>
      </c>
      <c r="AH158" s="194">
        <v>3.4826307783112971E-2</v>
      </c>
      <c r="AI158" s="194">
        <v>1.5282398877544533E-2</v>
      </c>
      <c r="AJ158" s="194">
        <v>6.2243401053211798E-3</v>
      </c>
      <c r="AK158" s="194">
        <v>0.13311898257143309</v>
      </c>
      <c r="AN158" s="184" t="s">
        <v>2206</v>
      </c>
      <c r="AO158" s="184" t="s">
        <v>23</v>
      </c>
      <c r="AP158" s="194">
        <v>546.47608450092594</v>
      </c>
      <c r="AQ158" s="194"/>
      <c r="AR158" s="194"/>
      <c r="AS158" s="194"/>
      <c r="AT158" s="194"/>
      <c r="AU158" s="194">
        <v>12.561998632873578</v>
      </c>
      <c r="AV158" s="194"/>
      <c r="AW158" s="194"/>
      <c r="AX158" s="194">
        <v>38.62731893129709</v>
      </c>
      <c r="AY158" s="194">
        <v>1.1093872448220654E-2</v>
      </c>
      <c r="AZ158" s="194">
        <v>5.1582633179088538E-2</v>
      </c>
      <c r="BA158" s="194">
        <v>3.4826307783112971E-2</v>
      </c>
      <c r="BB158" s="194">
        <v>1.5282398877544533E-2</v>
      </c>
      <c r="BC158" s="194">
        <v>6.2243401053211798E-3</v>
      </c>
      <c r="BD158" s="194">
        <v>0.13311898257143309</v>
      </c>
    </row>
    <row r="159" spans="1:56">
      <c r="A159" s="187"/>
      <c r="C159" s="184" t="s">
        <v>24</v>
      </c>
      <c r="D159" s="192">
        <v>2950.6007797173788</v>
      </c>
      <c r="E159" s="192"/>
      <c r="F159" s="192"/>
      <c r="G159" s="192"/>
      <c r="H159" s="192"/>
      <c r="I159" s="192">
        <v>157.77164434357215</v>
      </c>
      <c r="J159" s="193"/>
      <c r="K159" s="193"/>
      <c r="L159" s="192">
        <v>167.95951614030713</v>
      </c>
      <c r="M159" s="193">
        <v>0.40129060446326259</v>
      </c>
      <c r="N159" s="193">
        <v>0.14626954759759853</v>
      </c>
      <c r="O159" s="193">
        <v>0.94971157270237949</v>
      </c>
      <c r="P159" s="193">
        <v>0.1969736451697898</v>
      </c>
      <c r="Q159" s="193">
        <v>9.0479669403036103E-2</v>
      </c>
      <c r="R159" s="193">
        <v>0.9251932303173942</v>
      </c>
      <c r="S159" s="193"/>
      <c r="T159" s="193"/>
      <c r="V159" s="184" t="s">
        <v>24</v>
      </c>
      <c r="W159" s="194">
        <v>2921.3869106112661</v>
      </c>
      <c r="X159" s="194"/>
      <c r="Y159" s="194"/>
      <c r="Z159" s="194"/>
      <c r="AA159" s="194"/>
      <c r="AB159" s="194">
        <v>155.5334967205942</v>
      </c>
      <c r="AC159" s="194"/>
      <c r="AD159" s="194"/>
      <c r="AE159" s="194">
        <v>165.57684342766598</v>
      </c>
      <c r="AF159" s="194">
        <v>7.8286947395986753E-2</v>
      </c>
      <c r="AG159" s="194">
        <v>7.0364517215511416E-2</v>
      </c>
      <c r="AH159" s="194">
        <v>4.079220911183843E-2</v>
      </c>
      <c r="AI159" s="194">
        <v>7.103804198586755E-2</v>
      </c>
      <c r="AJ159" s="194">
        <v>2.3669786932439821E-2</v>
      </c>
      <c r="AK159" s="194">
        <v>0.291896757166558</v>
      </c>
      <c r="AO159" s="184" t="s">
        <v>24</v>
      </c>
      <c r="AP159" s="194">
        <v>2921.3869106112661</v>
      </c>
      <c r="AQ159" s="194"/>
      <c r="AR159" s="194"/>
      <c r="AS159" s="194"/>
      <c r="AT159" s="194"/>
      <c r="AU159" s="194">
        <v>155.5334967205942</v>
      </c>
      <c r="AV159" s="194"/>
      <c r="AW159" s="194"/>
      <c r="AX159" s="194">
        <v>165.57684342766598</v>
      </c>
      <c r="AY159" s="194">
        <v>7.8286947395986753E-2</v>
      </c>
      <c r="AZ159" s="194">
        <v>7.0364517215511416E-2</v>
      </c>
      <c r="BA159" s="194">
        <v>4.079220911183843E-2</v>
      </c>
      <c r="BB159" s="194">
        <v>7.103804198586755E-2</v>
      </c>
      <c r="BC159" s="194">
        <v>2.3669786932439821E-2</v>
      </c>
      <c r="BD159" s="194">
        <v>0.291896757166558</v>
      </c>
    </row>
    <row r="160" spans="1:56">
      <c r="A160" s="187"/>
      <c r="C160" s="184" t="s">
        <v>243</v>
      </c>
      <c r="D160" s="192">
        <v>12500</v>
      </c>
      <c r="E160" s="192"/>
      <c r="F160" s="192"/>
      <c r="G160" s="192"/>
      <c r="H160" s="192"/>
      <c r="I160" s="192">
        <v>888.2</v>
      </c>
      <c r="J160" s="193"/>
      <c r="K160" s="193"/>
      <c r="L160" s="192">
        <v>888.2</v>
      </c>
      <c r="M160" s="193">
        <v>1.7915000000000001</v>
      </c>
      <c r="N160" s="193">
        <v>14.52</v>
      </c>
      <c r="O160" s="193">
        <v>4.1325000000000003</v>
      </c>
      <c r="P160" s="193">
        <v>9.8849999999999993E-2</v>
      </c>
      <c r="Q160" s="193">
        <v>7.1099999999999997E-2</v>
      </c>
      <c r="R160" s="193">
        <v>5.4199999999999998E-2</v>
      </c>
      <c r="S160" s="193"/>
      <c r="T160" s="193"/>
      <c r="V160" s="184" t="s">
        <v>243</v>
      </c>
      <c r="W160" s="194">
        <v>12376.237623762378</v>
      </c>
      <c r="X160" s="194"/>
      <c r="Y160" s="194"/>
      <c r="Z160" s="194"/>
      <c r="AA160" s="194"/>
      <c r="AB160" s="194">
        <v>875.6</v>
      </c>
      <c r="AC160" s="194"/>
      <c r="AD160" s="194"/>
      <c r="AE160" s="194">
        <v>875.6</v>
      </c>
      <c r="AF160" s="194">
        <v>0.34949999999999998</v>
      </c>
      <c r="AG160" s="194">
        <v>6.9850000000000003</v>
      </c>
      <c r="AH160" s="194">
        <v>0.17749999999999999</v>
      </c>
      <c r="AI160" s="194">
        <v>3.5650000000000001E-2</v>
      </c>
      <c r="AJ160" s="194">
        <v>1.8599999999999998E-2</v>
      </c>
      <c r="AK160" s="194">
        <v>1.7100000000000001E-2</v>
      </c>
      <c r="AO160" s="184" t="s">
        <v>243</v>
      </c>
      <c r="AP160" s="194">
        <v>12376.237623762378</v>
      </c>
      <c r="AQ160" s="194"/>
      <c r="AR160" s="194"/>
      <c r="AS160" s="194"/>
      <c r="AT160" s="194"/>
      <c r="AU160" s="194">
        <v>875.6</v>
      </c>
      <c r="AV160" s="194"/>
      <c r="AW160" s="194"/>
      <c r="AX160" s="194">
        <v>875.6</v>
      </c>
      <c r="AY160" s="194">
        <v>0.34949999999999998</v>
      </c>
      <c r="AZ160" s="194">
        <v>6.9850000000000003</v>
      </c>
      <c r="BA160" s="194">
        <v>0.17749999999999999</v>
      </c>
      <c r="BB160" s="194">
        <v>3.5650000000000001E-2</v>
      </c>
      <c r="BC160" s="194">
        <v>1.8599999999999998E-2</v>
      </c>
      <c r="BD160" s="194">
        <v>1.7100000000000001E-2</v>
      </c>
    </row>
    <row r="161" spans="1:56">
      <c r="A161" s="187"/>
      <c r="C161" s="184" t="s">
        <v>244</v>
      </c>
      <c r="D161" s="192"/>
      <c r="E161" s="192"/>
      <c r="F161" s="192"/>
      <c r="G161" s="192"/>
      <c r="H161" s="192"/>
      <c r="I161" s="192"/>
      <c r="J161" s="193"/>
      <c r="K161" s="193"/>
      <c r="L161" s="192"/>
      <c r="M161" s="193"/>
      <c r="N161" s="193"/>
      <c r="O161" s="193"/>
      <c r="P161" s="193"/>
      <c r="Q161" s="193"/>
      <c r="R161" s="193"/>
      <c r="S161" s="193"/>
      <c r="T161" s="193"/>
      <c r="V161" s="184" t="s">
        <v>244</v>
      </c>
      <c r="W161" s="194"/>
      <c r="X161" s="194"/>
      <c r="Y161" s="194"/>
      <c r="Z161" s="194"/>
      <c r="AA161" s="194"/>
      <c r="AB161" s="194"/>
      <c r="AC161" s="194"/>
      <c r="AD161" s="194"/>
      <c r="AE161" s="194"/>
      <c r="AF161" s="194"/>
      <c r="AG161" s="194"/>
      <c r="AH161" s="194"/>
      <c r="AI161" s="194"/>
      <c r="AJ161" s="194"/>
      <c r="AK161" s="194"/>
      <c r="AO161" s="184" t="s">
        <v>244</v>
      </c>
      <c r="AP161" s="194"/>
      <c r="AQ161" s="194"/>
      <c r="AR161" s="194"/>
      <c r="AS161" s="194"/>
      <c r="AT161" s="194"/>
      <c r="AU161" s="194"/>
      <c r="AV161" s="194"/>
      <c r="AW161" s="194"/>
      <c r="AX161" s="194"/>
      <c r="AY161" s="194"/>
      <c r="AZ161" s="194"/>
      <c r="BA161" s="194"/>
      <c r="BB161" s="194"/>
      <c r="BC161" s="194"/>
      <c r="BD161" s="194"/>
    </row>
    <row r="162" spans="1:56">
      <c r="A162" s="187"/>
      <c r="B162" s="189" t="s">
        <v>2207</v>
      </c>
      <c r="C162" s="184" t="s">
        <v>23</v>
      </c>
      <c r="D162" s="192">
        <v>449.83984696639226</v>
      </c>
      <c r="E162" s="192"/>
      <c r="F162" s="192"/>
      <c r="G162" s="192"/>
      <c r="H162" s="192"/>
      <c r="I162" s="192">
        <v>42.703334627809468</v>
      </c>
      <c r="J162" s="193"/>
      <c r="K162" s="193"/>
      <c r="L162" s="192">
        <v>65.448990985795874</v>
      </c>
      <c r="M162" s="193">
        <v>1.6731614705078765E-2</v>
      </c>
      <c r="N162" s="193">
        <v>8.183177980835718E-2</v>
      </c>
      <c r="O162" s="193">
        <v>0.65156513808791106</v>
      </c>
      <c r="P162" s="193">
        <v>1.9406050061076045E-2</v>
      </c>
      <c r="Q162" s="193">
        <v>9.2354202799914461E-3</v>
      </c>
      <c r="R162" s="193">
        <v>0.14875892971922652</v>
      </c>
      <c r="S162" s="193"/>
      <c r="T162" s="193"/>
      <c r="U162" s="184" t="s">
        <v>2207</v>
      </c>
      <c r="V162" s="184" t="s">
        <v>23</v>
      </c>
      <c r="W162" s="194">
        <v>442.91923393614007</v>
      </c>
      <c r="X162" s="194"/>
      <c r="Y162" s="194"/>
      <c r="Z162" s="194"/>
      <c r="AA162" s="194"/>
      <c r="AB162" s="194">
        <v>42.195569277406449</v>
      </c>
      <c r="AC162" s="194"/>
      <c r="AD162" s="194"/>
      <c r="AE162" s="194">
        <v>64.670767689393529</v>
      </c>
      <c r="AF162" s="194">
        <v>7.5003790057249645E-3</v>
      </c>
      <c r="AG162" s="194">
        <v>8.2961299853308319E-3</v>
      </c>
      <c r="AH162" s="194">
        <v>4.0355212915675537E-2</v>
      </c>
      <c r="AI162" s="194">
        <v>4.2911969853365326E-3</v>
      </c>
      <c r="AJ162" s="194">
        <v>1.1658280645416425E-3</v>
      </c>
      <c r="AK162" s="194">
        <v>0.14694479642996763</v>
      </c>
      <c r="AN162" s="184" t="s">
        <v>2207</v>
      </c>
      <c r="AO162" s="184" t="s">
        <v>23</v>
      </c>
      <c r="AP162" s="194">
        <v>442.91923393614007</v>
      </c>
      <c r="AQ162" s="194"/>
      <c r="AR162" s="194"/>
      <c r="AS162" s="194"/>
      <c r="AT162" s="194"/>
      <c r="AU162" s="194">
        <v>42.195569277406449</v>
      </c>
      <c r="AV162" s="194"/>
      <c r="AW162" s="194"/>
      <c r="AX162" s="194">
        <v>64.670767689393529</v>
      </c>
      <c r="AY162" s="194">
        <v>7.5003790057249645E-3</v>
      </c>
      <c r="AZ162" s="194">
        <v>8.2961299853308319E-3</v>
      </c>
      <c r="BA162" s="194">
        <v>4.0355212915675537E-2</v>
      </c>
      <c r="BB162" s="194">
        <v>4.2911969853365326E-3</v>
      </c>
      <c r="BC162" s="194">
        <v>1.1658280645416425E-3</v>
      </c>
      <c r="BD162" s="194">
        <v>0.14694479642996763</v>
      </c>
    </row>
    <row r="163" spans="1:56">
      <c r="A163" s="187"/>
      <c r="C163" s="184" t="s">
        <v>24</v>
      </c>
      <c r="D163" s="192">
        <v>1425.6953482270624</v>
      </c>
      <c r="E163" s="192"/>
      <c r="F163" s="192"/>
      <c r="G163" s="192"/>
      <c r="H163" s="192"/>
      <c r="I163" s="192">
        <v>105.7838083405334</v>
      </c>
      <c r="J163" s="193"/>
      <c r="K163" s="193"/>
      <c r="L163" s="192">
        <v>108.36254966501764</v>
      </c>
      <c r="M163" s="193">
        <v>2.0170741873672619E-2</v>
      </c>
      <c r="N163" s="193">
        <v>6.6596632998639577E-2</v>
      </c>
      <c r="O163" s="193">
        <v>0.49478677936334314</v>
      </c>
      <c r="P163" s="193">
        <v>6.3668373775671555E-2</v>
      </c>
      <c r="Q163" s="193">
        <v>2.5071196543925506E-2</v>
      </c>
      <c r="R163" s="193">
        <v>0.24456339790027914</v>
      </c>
      <c r="S163" s="193"/>
      <c r="T163" s="193"/>
      <c r="V163" s="184" t="s">
        <v>24</v>
      </c>
      <c r="W163" s="194">
        <v>1403.7615736389537</v>
      </c>
      <c r="X163" s="194"/>
      <c r="Y163" s="194"/>
      <c r="Z163" s="194"/>
      <c r="AA163" s="194"/>
      <c r="AB163" s="194">
        <v>104.52598262324112</v>
      </c>
      <c r="AC163" s="194"/>
      <c r="AD163" s="194"/>
      <c r="AE163" s="194">
        <v>107.07406134248298</v>
      </c>
      <c r="AF163" s="194">
        <v>9.042056701991175E-3</v>
      </c>
      <c r="AG163" s="194">
        <v>6.7515863059068202E-3</v>
      </c>
      <c r="AH163" s="194">
        <v>3.0645018681731636E-2</v>
      </c>
      <c r="AI163" s="194">
        <v>1.4078781243352718E-2</v>
      </c>
      <c r="AJ163" s="194">
        <v>3.1648483400232284E-3</v>
      </c>
      <c r="AK163" s="194">
        <v>0.24158091743808061</v>
      </c>
      <c r="AO163" s="184" t="s">
        <v>24</v>
      </c>
      <c r="AP163" s="194">
        <v>1403.7615736389537</v>
      </c>
      <c r="AQ163" s="194"/>
      <c r="AR163" s="194"/>
      <c r="AS163" s="194"/>
      <c r="AT163" s="194"/>
      <c r="AU163" s="194">
        <v>104.52598262324112</v>
      </c>
      <c r="AV163" s="194"/>
      <c r="AW163" s="194"/>
      <c r="AX163" s="194">
        <v>107.07406134248298</v>
      </c>
      <c r="AY163" s="194">
        <v>9.042056701991175E-3</v>
      </c>
      <c r="AZ163" s="194">
        <v>6.7515863059068202E-3</v>
      </c>
      <c r="BA163" s="194">
        <v>3.0645018681731636E-2</v>
      </c>
      <c r="BB163" s="194">
        <v>1.4078781243352718E-2</v>
      </c>
      <c r="BC163" s="194">
        <v>3.1648483400232284E-3</v>
      </c>
      <c r="BD163" s="194">
        <v>0.24158091743808061</v>
      </c>
    </row>
    <row r="164" spans="1:56">
      <c r="A164" s="187"/>
      <c r="C164" s="184" t="s">
        <v>243</v>
      </c>
      <c r="D164" s="192">
        <v>10195.3125</v>
      </c>
      <c r="E164" s="192"/>
      <c r="F164" s="192"/>
      <c r="G164" s="192"/>
      <c r="H164" s="192"/>
      <c r="I164" s="192">
        <v>794.75</v>
      </c>
      <c r="J164" s="193"/>
      <c r="K164" s="193"/>
      <c r="L164" s="192">
        <v>794.75</v>
      </c>
      <c r="M164" s="193">
        <v>0.23199999999999998</v>
      </c>
      <c r="N164" s="193">
        <v>1.0505</v>
      </c>
      <c r="O164" s="193">
        <v>3.9879999999999995</v>
      </c>
      <c r="P164" s="193">
        <v>0.14200000000000002</v>
      </c>
      <c r="Q164" s="193">
        <v>0.11645</v>
      </c>
      <c r="R164" s="193">
        <v>8.2000000000000007E-3</v>
      </c>
      <c r="S164" s="193"/>
      <c r="T164" s="193"/>
      <c r="V164" s="184" t="s">
        <v>243</v>
      </c>
      <c r="W164" s="194">
        <v>10038.461538461539</v>
      </c>
      <c r="X164" s="194"/>
      <c r="Y164" s="194"/>
      <c r="Z164" s="194"/>
      <c r="AA164" s="194"/>
      <c r="AB164" s="194">
        <v>785.3</v>
      </c>
      <c r="AC164" s="194"/>
      <c r="AD164" s="194"/>
      <c r="AE164" s="194">
        <v>785.3</v>
      </c>
      <c r="AF164" s="194">
        <v>0.104</v>
      </c>
      <c r="AG164" s="194">
        <v>0.1065</v>
      </c>
      <c r="AH164" s="194">
        <v>0.247</v>
      </c>
      <c r="AI164" s="194">
        <v>3.1399999999999997E-2</v>
      </c>
      <c r="AJ164" s="194">
        <v>1.47E-2</v>
      </c>
      <c r="AK164" s="194">
        <v>8.0999999999999996E-3</v>
      </c>
      <c r="AO164" s="184" t="s">
        <v>243</v>
      </c>
      <c r="AP164" s="194">
        <v>10038.461538461539</v>
      </c>
      <c r="AQ164" s="194"/>
      <c r="AR164" s="194"/>
      <c r="AS164" s="194"/>
      <c r="AT164" s="194"/>
      <c r="AU164" s="194">
        <v>785.3</v>
      </c>
      <c r="AV164" s="194"/>
      <c r="AW164" s="194"/>
      <c r="AX164" s="194">
        <v>785.3</v>
      </c>
      <c r="AY164" s="194">
        <v>0.104</v>
      </c>
      <c r="AZ164" s="194">
        <v>0.1065</v>
      </c>
      <c r="BA164" s="194">
        <v>0.247</v>
      </c>
      <c r="BB164" s="194">
        <v>3.1399999999999997E-2</v>
      </c>
      <c r="BC164" s="194">
        <v>1.47E-2</v>
      </c>
      <c r="BD164" s="194">
        <v>8.0999999999999996E-3</v>
      </c>
    </row>
    <row r="165" spans="1:56">
      <c r="A165" s="187"/>
      <c r="C165" s="184" t="s">
        <v>244</v>
      </c>
      <c r="D165" s="192"/>
      <c r="E165" s="192"/>
      <c r="F165" s="192"/>
      <c r="G165" s="192"/>
      <c r="H165" s="192"/>
      <c r="I165" s="192"/>
      <c r="J165" s="193"/>
      <c r="K165" s="193"/>
      <c r="L165" s="192"/>
      <c r="M165" s="193"/>
      <c r="N165" s="193"/>
      <c r="O165" s="193"/>
      <c r="P165" s="193"/>
      <c r="Q165" s="193"/>
      <c r="R165" s="193"/>
      <c r="S165" s="193"/>
      <c r="T165" s="193"/>
      <c r="V165" s="184" t="s">
        <v>244</v>
      </c>
      <c r="W165" s="194"/>
      <c r="X165" s="194"/>
      <c r="Y165" s="194"/>
      <c r="Z165" s="194"/>
      <c r="AA165" s="194"/>
      <c r="AB165" s="194"/>
      <c r="AC165" s="194"/>
      <c r="AD165" s="194"/>
      <c r="AE165" s="194"/>
      <c r="AF165" s="194"/>
      <c r="AG165" s="194"/>
      <c r="AH165" s="194"/>
      <c r="AI165" s="194"/>
      <c r="AJ165" s="194"/>
      <c r="AK165" s="194"/>
      <c r="AO165" s="184" t="s">
        <v>244</v>
      </c>
      <c r="AP165" s="194"/>
      <c r="AQ165" s="194"/>
      <c r="AR165" s="194"/>
      <c r="AS165" s="194"/>
      <c r="AT165" s="194"/>
      <c r="AU165" s="194"/>
      <c r="AV165" s="194"/>
      <c r="AW165" s="194"/>
      <c r="AX165" s="194"/>
      <c r="AY165" s="194"/>
      <c r="AZ165" s="194"/>
      <c r="BA165" s="194"/>
      <c r="BB165" s="194"/>
      <c r="BC165" s="194"/>
      <c r="BD165" s="194"/>
    </row>
  </sheetData>
  <mergeCells count="3">
    <mergeCell ref="B3:R3"/>
    <mergeCell ref="U3:AK3"/>
    <mergeCell ref="AN3:BD3"/>
  </mergeCells>
  <pageMargins left="0.7" right="0.7" top="0.75" bottom="0.75" header="0.3" footer="0.3"/>
  <pageSetup orientation="portrait" horizontalDpi="1200" verticalDpi="1200"/>
</worksheet>
</file>

<file path=xl/worksheets/sheet21.xml><?xml version="1.0" encoding="utf-8"?>
<worksheet xmlns="http://schemas.openxmlformats.org/spreadsheetml/2006/main" xmlns:r="http://schemas.openxmlformats.org/officeDocument/2006/relationships">
  <dimension ref="A1"/>
  <sheetViews>
    <sheetView workbookViewId="0">
      <selection activeCell="F30" sqref="F30"/>
    </sheetView>
  </sheetViews>
  <sheetFormatPr defaultColWidth="11.42578125" defaultRowHeight="15"/>
  <sheetData/>
  <pageMargins left="0.75" right="0.75" top="1" bottom="1" header="0.5" footer="0.5"/>
</worksheet>
</file>

<file path=xl/worksheets/sheet22.xml><?xml version="1.0" encoding="utf-8"?>
<worksheet xmlns="http://schemas.openxmlformats.org/spreadsheetml/2006/main" xmlns:r="http://schemas.openxmlformats.org/officeDocument/2006/relationships">
  <dimension ref="A1:I145"/>
  <sheetViews>
    <sheetView showGridLines="0" topLeftCell="A118" workbookViewId="0">
      <selection activeCell="E161" sqref="E161"/>
    </sheetView>
  </sheetViews>
  <sheetFormatPr defaultColWidth="8.85546875" defaultRowHeight="12.75"/>
  <cols>
    <col min="1" max="1" width="12.28515625" style="288" customWidth="1"/>
    <col min="2" max="4" width="8.85546875" style="288"/>
    <col min="5" max="5" width="4.7109375" style="288" customWidth="1"/>
    <col min="6" max="6" width="12.28515625" style="288" customWidth="1"/>
    <col min="7" max="16384" width="8.85546875" style="288"/>
  </cols>
  <sheetData>
    <row r="1" spans="1:9">
      <c r="A1" s="294" t="s">
        <v>86</v>
      </c>
    </row>
    <row r="2" spans="1:9" ht="13.5" thickBot="1">
      <c r="A2" s="86" t="s">
        <v>20</v>
      </c>
      <c r="B2" s="87"/>
      <c r="C2" s="87"/>
      <c r="D2" s="87"/>
      <c r="F2" s="86" t="s">
        <v>79</v>
      </c>
      <c r="G2" s="87"/>
      <c r="H2" s="87"/>
      <c r="I2" s="87"/>
    </row>
    <row r="3" spans="1:9">
      <c r="A3" s="293"/>
      <c r="B3" s="88" t="s">
        <v>21</v>
      </c>
      <c r="C3" s="89"/>
      <c r="D3" s="90"/>
      <c r="F3" s="293"/>
      <c r="G3" s="88" t="s">
        <v>21</v>
      </c>
      <c r="H3" s="89"/>
      <c r="I3" s="90"/>
    </row>
    <row r="4" spans="1:9" ht="38.25">
      <c r="A4" s="91" t="s">
        <v>22</v>
      </c>
      <c r="B4" s="92" t="s">
        <v>23</v>
      </c>
      <c r="C4" s="93" t="s">
        <v>24</v>
      </c>
      <c r="D4" s="94" t="s">
        <v>25</v>
      </c>
      <c r="F4" s="91" t="s">
        <v>22</v>
      </c>
      <c r="G4" s="92" t="s">
        <v>23</v>
      </c>
      <c r="H4" s="93" t="s">
        <v>24</v>
      </c>
      <c r="I4" s="94" t="s">
        <v>25</v>
      </c>
    </row>
    <row r="5" spans="1:9">
      <c r="A5" s="95" t="s">
        <v>27</v>
      </c>
      <c r="B5" s="96">
        <v>301.99462332950355</v>
      </c>
      <c r="C5" s="97">
        <v>716.29100587314269</v>
      </c>
      <c r="D5" s="291">
        <v>4649.2577338763613</v>
      </c>
      <c r="F5" s="95" t="s">
        <v>27</v>
      </c>
      <c r="G5" s="96">
        <v>323.57799745499477</v>
      </c>
      <c r="H5" s="97">
        <v>973.77990563031517</v>
      </c>
      <c r="I5" s="291">
        <v>4649.2577338763613</v>
      </c>
    </row>
    <row r="6" spans="1:9">
      <c r="A6" s="98" t="s">
        <v>28</v>
      </c>
      <c r="B6" s="99">
        <v>293.70346953342141</v>
      </c>
      <c r="C6" s="100">
        <v>660.60099876272295</v>
      </c>
      <c r="D6" s="292">
        <v>4591.4884800500067</v>
      </c>
      <c r="F6" s="98" t="s">
        <v>28</v>
      </c>
      <c r="G6" s="99">
        <v>308.43311267569885</v>
      </c>
      <c r="H6" s="100">
        <v>733.14351175024501</v>
      </c>
      <c r="I6" s="292">
        <v>4349.0836213215644</v>
      </c>
    </row>
    <row r="7" spans="1:9">
      <c r="A7" s="98" t="s">
        <v>29</v>
      </c>
      <c r="B7" s="99">
        <v>31.174460250718653</v>
      </c>
      <c r="C7" s="100">
        <v>39.021775707939533</v>
      </c>
      <c r="D7" s="292">
        <v>0</v>
      </c>
      <c r="F7" s="98" t="s">
        <v>29</v>
      </c>
      <c r="G7" s="99">
        <v>32.135606279701086</v>
      </c>
      <c r="H7" s="100">
        <v>57.132025851991834</v>
      </c>
      <c r="I7" s="292">
        <v>0</v>
      </c>
    </row>
    <row r="8" spans="1:9">
      <c r="A8" s="95" t="s">
        <v>30</v>
      </c>
      <c r="B8" s="96">
        <v>197.35863176475669</v>
      </c>
      <c r="C8" s="97">
        <v>349.64121225127326</v>
      </c>
      <c r="D8" s="291">
        <v>0</v>
      </c>
      <c r="F8" s="95" t="s">
        <v>30</v>
      </c>
      <c r="G8" s="96">
        <v>201.43199952869571</v>
      </c>
      <c r="H8" s="97">
        <v>416.06025732314907</v>
      </c>
      <c r="I8" s="291">
        <v>0</v>
      </c>
    </row>
    <row r="9" spans="1:9">
      <c r="A9" s="95" t="s">
        <v>31</v>
      </c>
      <c r="B9" s="96">
        <v>65.170377517946051</v>
      </c>
      <c r="C9" s="97">
        <v>271.93801080351011</v>
      </c>
      <c r="D9" s="291">
        <v>4591.4884800500067</v>
      </c>
      <c r="F9" s="95" t="s">
        <v>31</v>
      </c>
      <c r="G9" s="96">
        <v>74.865506867302031</v>
      </c>
      <c r="H9" s="97">
        <v>259.95122857510415</v>
      </c>
      <c r="I9" s="291">
        <v>4349.0836213215644</v>
      </c>
    </row>
    <row r="10" spans="1:9">
      <c r="A10" s="98" t="s">
        <v>78</v>
      </c>
      <c r="B10" s="99">
        <v>21.36565084724031</v>
      </c>
      <c r="C10" s="100">
        <v>54.616912818072485</v>
      </c>
      <c r="D10" s="292">
        <v>357.10523878511555</v>
      </c>
      <c r="F10" s="98" t="s">
        <v>78</v>
      </c>
      <c r="G10" s="99">
        <v>8.5337904101820641</v>
      </c>
      <c r="H10" s="100">
        <v>58.318992902251665</v>
      </c>
      <c r="I10" s="292">
        <v>356.64126358544559</v>
      </c>
    </row>
    <row r="11" spans="1:9">
      <c r="A11" s="98" t="s">
        <v>33</v>
      </c>
      <c r="B11" s="101">
        <v>0.41772800702348556</v>
      </c>
      <c r="C11" s="102">
        <v>0.18183229949367813</v>
      </c>
      <c r="D11" s="290">
        <v>1.0599999688565731E-2</v>
      </c>
      <c r="F11" s="98" t="s">
        <v>33</v>
      </c>
      <c r="G11" s="101">
        <v>0.40070147426360442</v>
      </c>
      <c r="H11" s="102">
        <v>0.21692641289889142</v>
      </c>
      <c r="I11" s="290">
        <v>1.0599999688565731E-2</v>
      </c>
    </row>
    <row r="12" spans="1:9">
      <c r="A12" s="95" t="s">
        <v>34</v>
      </c>
      <c r="B12" s="103">
        <v>3.4528420844829303E-4</v>
      </c>
      <c r="C12" s="104">
        <v>3.0357217332627369E-3</v>
      </c>
      <c r="D12" s="289">
        <v>1.2000000104308128E-2</v>
      </c>
      <c r="F12" s="95" t="s">
        <v>34</v>
      </c>
      <c r="G12" s="103">
        <v>1.2233738159232573E-2</v>
      </c>
      <c r="H12" s="104">
        <v>8.0000732954592379E-4</v>
      </c>
      <c r="I12" s="289">
        <v>1.2000000104308128E-2</v>
      </c>
    </row>
    <row r="13" spans="1:9">
      <c r="A13" s="95" t="s">
        <v>35</v>
      </c>
      <c r="B13" s="96">
        <v>31.911745716945042</v>
      </c>
      <c r="C13" s="97">
        <v>60.067365381926734</v>
      </c>
      <c r="D13" s="291">
        <v>360.94623880841351</v>
      </c>
      <c r="F13" s="95" t="s">
        <v>35</v>
      </c>
      <c r="G13" s="96">
        <v>22.196981238223479</v>
      </c>
      <c r="H13" s="97">
        <v>63.980555408928637</v>
      </c>
      <c r="I13" s="291">
        <v>360.48226360874355</v>
      </c>
    </row>
    <row r="14" spans="1:9">
      <c r="A14" s="98" t="s">
        <v>36</v>
      </c>
      <c r="B14" s="101">
        <v>1.6643783941006175E-2</v>
      </c>
      <c r="C14" s="102">
        <v>0.10939159266720425</v>
      </c>
      <c r="D14" s="290">
        <v>0.15199999883770943</v>
      </c>
      <c r="F14" s="98" t="s">
        <v>36</v>
      </c>
      <c r="G14" s="101">
        <v>1.5842316073489734E-2</v>
      </c>
      <c r="H14" s="102">
        <v>0.11653105588401307</v>
      </c>
      <c r="I14" s="290">
        <v>0.15199999883770943</v>
      </c>
    </row>
    <row r="15" spans="1:9">
      <c r="A15" s="98" t="s">
        <v>37</v>
      </c>
      <c r="B15" s="101">
        <v>2.6026611815606868E-2</v>
      </c>
      <c r="C15" s="102">
        <v>2.915257291682407E-2</v>
      </c>
      <c r="D15" s="290">
        <v>3.4920001029968262</v>
      </c>
      <c r="F15" s="98" t="s">
        <v>37</v>
      </c>
      <c r="G15" s="101">
        <v>2.8077441518904997E-2</v>
      </c>
      <c r="H15" s="102">
        <v>3.1026320514187564E-2</v>
      </c>
      <c r="I15" s="290">
        <v>3.4920001029968262</v>
      </c>
    </row>
    <row r="16" spans="1:9">
      <c r="A16" s="95" t="s">
        <v>38</v>
      </c>
      <c r="B16" s="103">
        <v>0.11960629553684514</v>
      </c>
      <c r="C16" s="104">
        <v>8.0668900235645297E-2</v>
      </c>
      <c r="D16" s="289">
        <v>6.8999998271465302E-2</v>
      </c>
      <c r="F16" s="95" t="s">
        <v>38</v>
      </c>
      <c r="G16" s="103">
        <v>0.12522444414181766</v>
      </c>
      <c r="H16" s="104">
        <v>8.383706188850118E-2</v>
      </c>
      <c r="I16" s="289">
        <v>6.8999998271465302E-2</v>
      </c>
    </row>
    <row r="17" spans="1:9">
      <c r="A17" s="95" t="s">
        <v>39</v>
      </c>
      <c r="B17" s="103">
        <v>1.1923799849721167E-2</v>
      </c>
      <c r="C17" s="104">
        <v>1.9448627761338062E-2</v>
      </c>
      <c r="D17" s="289">
        <v>2.8600000776350498E-2</v>
      </c>
      <c r="F17" s="95" t="s">
        <v>39</v>
      </c>
      <c r="G17" s="103">
        <v>1.2229402191610337E-2</v>
      </c>
      <c r="H17" s="104">
        <v>2.5873949079365393E-2</v>
      </c>
      <c r="I17" s="289">
        <v>2.8600000776350498E-2</v>
      </c>
    </row>
    <row r="18" spans="1:9">
      <c r="A18" s="98" t="s">
        <v>40</v>
      </c>
      <c r="B18" s="101">
        <v>7.2246188957560764E-3</v>
      </c>
      <c r="C18" s="102">
        <v>9.8510506297443592E-3</v>
      </c>
      <c r="D18" s="290">
        <v>1.4800000004470348E-2</v>
      </c>
      <c r="F18" s="98" t="s">
        <v>40</v>
      </c>
      <c r="G18" s="101">
        <v>7.3824661288918935E-3</v>
      </c>
      <c r="H18" s="102">
        <v>1.1436684944619567E-2</v>
      </c>
      <c r="I18" s="290">
        <v>1.4800000004470348E-2</v>
      </c>
    </row>
    <row r="19" spans="1:9">
      <c r="A19" s="98" t="s">
        <v>41</v>
      </c>
      <c r="B19" s="101">
        <v>5.055845632674251E-2</v>
      </c>
      <c r="C19" s="102">
        <v>5.4631658918816085E-2</v>
      </c>
      <c r="D19" s="290">
        <v>5.801556330783335E-3</v>
      </c>
      <c r="F19" s="98" t="s">
        <v>41</v>
      </c>
      <c r="G19" s="101">
        <v>5.7323350278673441E-2</v>
      </c>
      <c r="H19" s="102">
        <v>5.519107703667981E-2</v>
      </c>
      <c r="I19" s="290">
        <v>5.3994185815095736E-3</v>
      </c>
    </row>
    <row r="20" spans="1:9">
      <c r="A20" s="95" t="s">
        <v>42</v>
      </c>
      <c r="B20" s="103">
        <v>2.7500802241640608E-3</v>
      </c>
      <c r="C20" s="104">
        <v>6.9484972475968493E-2</v>
      </c>
      <c r="D20" s="289">
        <v>9.4543999277055257E-2</v>
      </c>
      <c r="F20" s="95" t="s">
        <v>42</v>
      </c>
      <c r="G20" s="103">
        <v>2.6338267077093617E-3</v>
      </c>
      <c r="H20" s="104">
        <v>6.9094865237722153E-2</v>
      </c>
      <c r="I20" s="289">
        <v>9.4543999277055257E-2</v>
      </c>
    </row>
    <row r="21" spans="1:9">
      <c r="A21" s="95" t="s">
        <v>43</v>
      </c>
      <c r="B21" s="103">
        <v>1.2218432263071588E-3</v>
      </c>
      <c r="C21" s="104">
        <v>1.2722809587711759E-2</v>
      </c>
      <c r="D21" s="289">
        <v>2.172024064064026</v>
      </c>
      <c r="F21" s="95" t="s">
        <v>43</v>
      </c>
      <c r="G21" s="103">
        <v>1.2282946213122937E-3</v>
      </c>
      <c r="H21" s="104">
        <v>1.2214687065879713E-2</v>
      </c>
      <c r="I21" s="289">
        <v>2.172024064064026</v>
      </c>
    </row>
    <row r="22" spans="1:9">
      <c r="A22" s="98" t="s">
        <v>44</v>
      </c>
      <c r="B22" s="101">
        <v>5.6249198401203595E-3</v>
      </c>
      <c r="C22" s="102">
        <v>2.769201571056415E-2</v>
      </c>
      <c r="D22" s="290">
        <v>4.2917998924851417E-2</v>
      </c>
      <c r="F22" s="98" t="s">
        <v>44</v>
      </c>
      <c r="G22" s="101">
        <v>5.5192851047596997E-3</v>
      </c>
      <c r="H22" s="102">
        <v>2.6794115751547845E-2</v>
      </c>
      <c r="I22" s="290">
        <v>4.2917998924851417E-2</v>
      </c>
    </row>
    <row r="23" spans="1:9">
      <c r="A23" s="98" t="s">
        <v>45</v>
      </c>
      <c r="B23" s="101">
        <v>4.3955316981159829E-4</v>
      </c>
      <c r="C23" s="102">
        <v>6.1403859942236261E-3</v>
      </c>
      <c r="D23" s="290">
        <v>1.7789200482890011E-2</v>
      </c>
      <c r="F23" s="98" t="s">
        <v>45</v>
      </c>
      <c r="G23" s="101">
        <v>4.3973439060967335E-4</v>
      </c>
      <c r="H23" s="102">
        <v>5.843446615721129E-3</v>
      </c>
      <c r="I23" s="290">
        <v>1.7789200482890011E-2</v>
      </c>
    </row>
    <row r="24" spans="1:9">
      <c r="A24" s="95" t="s">
        <v>46</v>
      </c>
      <c r="B24" s="103">
        <v>3.7995389433584896E-4</v>
      </c>
      <c r="C24" s="104">
        <v>3.7552404436256132E-3</v>
      </c>
      <c r="D24" s="289">
        <v>9.2056000027805566E-3</v>
      </c>
      <c r="F24" s="95" t="s">
        <v>46</v>
      </c>
      <c r="G24" s="103">
        <v>3.7445122908500496E-4</v>
      </c>
      <c r="H24" s="104">
        <v>3.5769873520239354E-3</v>
      </c>
      <c r="I24" s="289">
        <v>9.2056000027805566E-3</v>
      </c>
    </row>
    <row r="25" spans="1:9" ht="13.5" thickBot="1">
      <c r="A25" s="105" t="s">
        <v>47</v>
      </c>
      <c r="B25" s="106">
        <v>3.477885445373871E-3</v>
      </c>
      <c r="C25" s="107">
        <v>2.2254330223068979E-2</v>
      </c>
      <c r="D25" s="108">
        <v>3.6085680377472345E-3</v>
      </c>
      <c r="F25" s="105" t="s">
        <v>47</v>
      </c>
      <c r="G25" s="106">
        <v>3.5234727972803573E-3</v>
      </c>
      <c r="H25" s="107">
        <v>2.1535525743549291E-2</v>
      </c>
      <c r="I25" s="108">
        <v>3.3584383576989547E-3</v>
      </c>
    </row>
    <row r="26" spans="1:9" ht="13.5" thickBot="1">
      <c r="A26" s="86" t="s">
        <v>85</v>
      </c>
      <c r="B26" s="87"/>
      <c r="C26" s="87"/>
      <c r="D26" s="87"/>
      <c r="F26" s="86" t="s">
        <v>84</v>
      </c>
      <c r="G26" s="87"/>
      <c r="H26" s="87"/>
      <c r="I26" s="87"/>
    </row>
    <row r="27" spans="1:9">
      <c r="A27" s="293"/>
      <c r="B27" s="88" t="s">
        <v>21</v>
      </c>
      <c r="C27" s="89"/>
      <c r="D27" s="90"/>
      <c r="F27" s="293"/>
      <c r="G27" s="88" t="s">
        <v>21</v>
      </c>
      <c r="H27" s="89"/>
      <c r="I27" s="90"/>
    </row>
    <row r="28" spans="1:9" ht="38.25">
      <c r="A28" s="91" t="s">
        <v>22</v>
      </c>
      <c r="B28" s="92" t="s">
        <v>23</v>
      </c>
      <c r="C28" s="93" t="s">
        <v>24</v>
      </c>
      <c r="D28" s="94" t="s">
        <v>25</v>
      </c>
      <c r="F28" s="91" t="s">
        <v>22</v>
      </c>
      <c r="G28" s="92" t="s">
        <v>23</v>
      </c>
      <c r="H28" s="93" t="s">
        <v>24</v>
      </c>
      <c r="I28" s="94" t="s">
        <v>25</v>
      </c>
    </row>
    <row r="29" spans="1:9">
      <c r="A29" s="95" t="s">
        <v>27</v>
      </c>
      <c r="B29" s="96">
        <v>468.1664078716172</v>
      </c>
      <c r="C29" s="97">
        <v>313.8240392115747</v>
      </c>
      <c r="D29" s="291">
        <v>4513.8425854547895</v>
      </c>
      <c r="F29" s="95" t="s">
        <v>27</v>
      </c>
      <c r="G29" s="96">
        <v>547.7375475910535</v>
      </c>
      <c r="H29" s="97">
        <v>4420.2458284813283</v>
      </c>
      <c r="I29" s="291">
        <v>4649.2577338763613</v>
      </c>
    </row>
    <row r="30" spans="1:9">
      <c r="A30" s="98" t="s">
        <v>28</v>
      </c>
      <c r="B30" s="99">
        <v>465.38668830645008</v>
      </c>
      <c r="C30" s="100">
        <v>266.04615911608391</v>
      </c>
      <c r="D30" s="292">
        <v>4513.8425854547895</v>
      </c>
      <c r="F30" s="98" t="s">
        <v>28</v>
      </c>
      <c r="G30" s="99">
        <v>461.40581271728649</v>
      </c>
      <c r="H30" s="100">
        <v>1761.2660412263288</v>
      </c>
      <c r="I30" s="292">
        <v>1231.2764417756537</v>
      </c>
    </row>
    <row r="31" spans="1:9">
      <c r="A31" s="98" t="s">
        <v>29</v>
      </c>
      <c r="B31" s="99">
        <v>10.451786000072879</v>
      </c>
      <c r="C31" s="100">
        <v>179.63707021906089</v>
      </c>
      <c r="D31" s="292">
        <v>0</v>
      </c>
      <c r="F31" s="98" t="s">
        <v>29</v>
      </c>
      <c r="G31" s="99">
        <v>42.116675010368027</v>
      </c>
      <c r="H31" s="100">
        <v>299.82868395736654</v>
      </c>
      <c r="I31" s="292">
        <v>0</v>
      </c>
    </row>
    <row r="32" spans="1:9">
      <c r="A32" s="95" t="s">
        <v>30</v>
      </c>
      <c r="B32" s="96">
        <v>436.32155499761893</v>
      </c>
      <c r="C32" s="97">
        <v>79.584813756407684</v>
      </c>
      <c r="D32" s="291">
        <v>4513.8425854547895</v>
      </c>
      <c r="F32" s="95" t="s">
        <v>30</v>
      </c>
      <c r="G32" s="96">
        <v>243.72784003451218</v>
      </c>
      <c r="H32" s="97">
        <v>1321.3738370881085</v>
      </c>
      <c r="I32" s="291">
        <v>0</v>
      </c>
    </row>
    <row r="33" spans="1:9">
      <c r="A33" s="95" t="s">
        <v>31</v>
      </c>
      <c r="B33" s="96">
        <v>18.613347308758229</v>
      </c>
      <c r="C33" s="97">
        <v>6.8242751406153452</v>
      </c>
      <c r="D33" s="291">
        <v>0</v>
      </c>
      <c r="F33" s="95" t="s">
        <v>31</v>
      </c>
      <c r="G33" s="96">
        <v>175.56129767240631</v>
      </c>
      <c r="H33" s="97">
        <v>140.06352018085363</v>
      </c>
      <c r="I33" s="291">
        <v>1231.2764417756537</v>
      </c>
    </row>
    <row r="34" spans="1:9">
      <c r="A34" s="98" t="s">
        <v>78</v>
      </c>
      <c r="B34" s="99">
        <v>25.258252886748014</v>
      </c>
      <c r="C34" s="100">
        <v>24.790452033854343</v>
      </c>
      <c r="D34" s="292">
        <v>267.88799533320429</v>
      </c>
      <c r="F34" s="98" t="s">
        <v>78</v>
      </c>
      <c r="G34" s="99">
        <v>-170.53857781604987</v>
      </c>
      <c r="H34" s="100">
        <v>124.44408368647647</v>
      </c>
      <c r="I34" s="292">
        <v>350.64433899655472</v>
      </c>
    </row>
    <row r="35" spans="1:9">
      <c r="A35" s="98" t="s">
        <v>33</v>
      </c>
      <c r="B35" s="101">
        <v>2.7201955524813122</v>
      </c>
      <c r="C35" s="102">
        <v>6.1250151853736584E-2</v>
      </c>
      <c r="D35" s="290">
        <v>0.10599999688565731</v>
      </c>
      <c r="F35" s="98" t="s">
        <v>33</v>
      </c>
      <c r="G35" s="101">
        <v>0.22382541626319083</v>
      </c>
      <c r="H35" s="102">
        <v>0.69804607396051876</v>
      </c>
      <c r="I35" s="290">
        <v>1.0599999688565731E-2</v>
      </c>
    </row>
    <row r="36" spans="1:9">
      <c r="A36" s="95" t="s">
        <v>34</v>
      </c>
      <c r="B36" s="103">
        <v>4.5375721540342567E-4</v>
      </c>
      <c r="C36" s="104">
        <v>3.3656703962601961E-4</v>
      </c>
      <c r="D36" s="289">
        <v>1.2000000104308128E-2</v>
      </c>
      <c r="F36" s="95" t="s">
        <v>34</v>
      </c>
      <c r="G36" s="103">
        <v>0.135715073757392</v>
      </c>
      <c r="H36" s="104">
        <v>2.5970943639600109E-3</v>
      </c>
      <c r="I36" s="289">
        <v>1.2000000104308128E-2</v>
      </c>
    </row>
    <row r="37" spans="1:9">
      <c r="A37" s="95" t="s">
        <v>35</v>
      </c>
      <c r="B37" s="96">
        <v>93.398361348971036</v>
      </c>
      <c r="C37" s="97">
        <v>26.422002808006312</v>
      </c>
      <c r="D37" s="291">
        <v>274.11399528642954</v>
      </c>
      <c r="F37" s="95" t="s">
        <v>35</v>
      </c>
      <c r="G37" s="96">
        <v>-124.49985042976728</v>
      </c>
      <c r="H37" s="97">
        <v>142.66916965594953</v>
      </c>
      <c r="I37" s="291">
        <v>354.48533901985269</v>
      </c>
    </row>
    <row r="38" spans="1:9">
      <c r="A38" s="98" t="s">
        <v>36</v>
      </c>
      <c r="B38" s="101">
        <v>2.7236969639915291E-2</v>
      </c>
      <c r="C38" s="102">
        <v>2.1533964798295842E-3</v>
      </c>
      <c r="D38" s="290">
        <v>0.12349999882280827</v>
      </c>
      <c r="F38" s="98" t="s">
        <v>36</v>
      </c>
      <c r="G38" s="101">
        <v>7.5166557452523508E-3</v>
      </c>
      <c r="H38" s="102">
        <v>0.20991702117915365</v>
      </c>
      <c r="I38" s="290">
        <v>0.14345000019222498</v>
      </c>
    </row>
    <row r="39" spans="1:9">
      <c r="A39" s="98" t="s">
        <v>37</v>
      </c>
      <c r="B39" s="101">
        <v>3.7654082053395987E-2</v>
      </c>
      <c r="C39" s="102">
        <v>6.5320721687808668E-3</v>
      </c>
      <c r="D39" s="290">
        <v>3.4920001029968262</v>
      </c>
      <c r="F39" s="98" t="s">
        <v>37</v>
      </c>
      <c r="G39" s="101">
        <v>4.9377022056021139E-2</v>
      </c>
      <c r="H39" s="102">
        <v>6.5286930293298309E-2</v>
      </c>
      <c r="I39" s="290">
        <v>3.4920001029968262</v>
      </c>
    </row>
    <row r="40" spans="1:9">
      <c r="A40" s="95" t="s">
        <v>38</v>
      </c>
      <c r="B40" s="103">
        <v>9.9386615084710014E-2</v>
      </c>
      <c r="C40" s="104">
        <v>2.225705828241557E-2</v>
      </c>
      <c r="D40" s="289">
        <v>6.8999998271465302E-2</v>
      </c>
      <c r="F40" s="95" t="s">
        <v>38</v>
      </c>
      <c r="G40" s="103">
        <v>0.18357046637347016</v>
      </c>
      <c r="H40" s="104">
        <v>0.16122781572391681</v>
      </c>
      <c r="I40" s="289">
        <v>6.8999998271465302E-2</v>
      </c>
    </row>
    <row r="41" spans="1:9">
      <c r="A41" s="95" t="s">
        <v>39</v>
      </c>
      <c r="B41" s="103">
        <v>3.9757609999766224E-3</v>
      </c>
      <c r="C41" s="104">
        <v>3.2603715137220615E-2</v>
      </c>
      <c r="D41" s="289">
        <v>2.8600000776350498E-2</v>
      </c>
      <c r="F41" s="95" t="s">
        <v>39</v>
      </c>
      <c r="G41" s="103">
        <v>1.5402813870756942E-2</v>
      </c>
      <c r="H41" s="104">
        <v>0.11209729491497644</v>
      </c>
      <c r="I41" s="289">
        <v>2.8600000776350498E-2</v>
      </c>
    </row>
    <row r="42" spans="1:9">
      <c r="A42" s="98" t="s">
        <v>40</v>
      </c>
      <c r="B42" s="101">
        <v>2.4324082339219847E-3</v>
      </c>
      <c r="C42" s="102">
        <v>8.5861828962081818E-3</v>
      </c>
      <c r="D42" s="290">
        <v>1.4800000004470348E-2</v>
      </c>
      <c r="F42" s="98" t="s">
        <v>40</v>
      </c>
      <c r="G42" s="101">
        <v>9.021501462767284E-3</v>
      </c>
      <c r="H42" s="102">
        <v>3.3695541523329556E-2</v>
      </c>
      <c r="I42" s="290">
        <v>1.4800000004470348E-2</v>
      </c>
    </row>
    <row r="43" spans="1:9">
      <c r="A43" s="98" t="s">
        <v>41</v>
      </c>
      <c r="B43" s="101">
        <v>5.1848839376304579E-2</v>
      </c>
      <c r="C43" s="102">
        <v>4.4685544804687317E-2</v>
      </c>
      <c r="D43" s="290">
        <v>1.2122629120651725E-3</v>
      </c>
      <c r="F43" s="98" t="s">
        <v>41</v>
      </c>
      <c r="G43" s="101">
        <v>0.12758472693221565</v>
      </c>
      <c r="H43" s="102">
        <v>8.9015834544982533E-2</v>
      </c>
      <c r="I43" s="290">
        <v>1.6889746722830541E-3</v>
      </c>
    </row>
    <row r="44" spans="1:9">
      <c r="A44" s="95" t="s">
        <v>42</v>
      </c>
      <c r="B44" s="103">
        <v>7.1205887374103645E-4</v>
      </c>
      <c r="C44" s="104">
        <v>1.4079175222433564E-4</v>
      </c>
      <c r="D44" s="289">
        <v>7.6816999267786734E-2</v>
      </c>
      <c r="F44" s="95" t="s">
        <v>42</v>
      </c>
      <c r="G44" s="103">
        <v>1.4261615418744316E-3</v>
      </c>
      <c r="H44" s="104">
        <v>6.4192383910723266E-2</v>
      </c>
      <c r="I44" s="289">
        <v>8.9225900119563939E-2</v>
      </c>
    </row>
    <row r="45" spans="1:9">
      <c r="A45" s="95" t="s">
        <v>43</v>
      </c>
      <c r="B45" s="103">
        <v>1.3687013094479256E-3</v>
      </c>
      <c r="C45" s="104">
        <v>1.4061014899806323E-3</v>
      </c>
      <c r="D45" s="289">
        <v>2.172024064064026</v>
      </c>
      <c r="F45" s="95" t="s">
        <v>43</v>
      </c>
      <c r="G45" s="103">
        <v>1.2952234957070649E-3</v>
      </c>
      <c r="H45" s="104">
        <v>5.8618138002307007E-3</v>
      </c>
      <c r="I45" s="289">
        <v>2.172024064064026</v>
      </c>
    </row>
    <row r="46" spans="1:9">
      <c r="A46" s="98" t="s">
        <v>44</v>
      </c>
      <c r="B46" s="101">
        <v>3.6001558286025796E-3</v>
      </c>
      <c r="C46" s="102">
        <v>3.9085101428871167E-3</v>
      </c>
      <c r="D46" s="290">
        <v>4.2917998924851417E-2</v>
      </c>
      <c r="F46" s="98" t="s">
        <v>44</v>
      </c>
      <c r="G46" s="101">
        <v>4.4217263738721927E-3</v>
      </c>
      <c r="H46" s="102">
        <v>1.5957369642961631E-2</v>
      </c>
      <c r="I46" s="290">
        <v>4.2917998924851417E-2</v>
      </c>
    </row>
    <row r="47" spans="1:9">
      <c r="A47" s="98" t="s">
        <v>45</v>
      </c>
      <c r="B47" s="101">
        <v>1.0763800050457082E-4</v>
      </c>
      <c r="C47" s="102">
        <v>2.8056665323776254E-4</v>
      </c>
      <c r="D47" s="290">
        <v>1.7789200482890011E-2</v>
      </c>
      <c r="F47" s="98" t="s">
        <v>45</v>
      </c>
      <c r="G47" s="101">
        <v>4.4158803848548902E-4</v>
      </c>
      <c r="H47" s="102">
        <v>2.0706009552965863E-3</v>
      </c>
      <c r="I47" s="290">
        <v>1.7789200482890011E-2</v>
      </c>
    </row>
    <row r="48" spans="1:9">
      <c r="A48" s="95" t="s">
        <v>46</v>
      </c>
      <c r="B48" s="103">
        <v>9.1530930074616566E-5</v>
      </c>
      <c r="C48" s="104">
        <v>1.7257372502469932E-4</v>
      </c>
      <c r="D48" s="289">
        <v>9.2056000027805566E-3</v>
      </c>
      <c r="F48" s="95" t="s">
        <v>46</v>
      </c>
      <c r="G48" s="103">
        <v>3.1727215338406566E-4</v>
      </c>
      <c r="H48" s="104">
        <v>1.3194223170001449E-3</v>
      </c>
      <c r="I48" s="289">
        <v>9.2056000027805566E-3</v>
      </c>
    </row>
    <row r="49" spans="1:9" ht="13.5" thickBot="1">
      <c r="A49" s="105" t="s">
        <v>47</v>
      </c>
      <c r="B49" s="106">
        <v>9.9927716411967577E-4</v>
      </c>
      <c r="C49" s="107">
        <v>7.3477539415582804E-3</v>
      </c>
      <c r="D49" s="108">
        <v>7.5402753130453725E-4</v>
      </c>
      <c r="F49" s="105" t="s">
        <v>47</v>
      </c>
      <c r="G49" s="106">
        <v>3.9967466922959218E-3</v>
      </c>
      <c r="H49" s="107">
        <v>1.2963747784204538E-2</v>
      </c>
      <c r="I49" s="108">
        <v>1.0505422461600596E-3</v>
      </c>
    </row>
    <row r="50" spans="1:9" ht="13.5" thickBot="1">
      <c r="A50" s="86" t="s">
        <v>82</v>
      </c>
      <c r="B50" s="87"/>
      <c r="C50" s="87"/>
      <c r="D50" s="87"/>
      <c r="F50" s="86" t="s">
        <v>2256</v>
      </c>
      <c r="G50" s="87"/>
      <c r="H50" s="87"/>
      <c r="I50" s="87"/>
    </row>
    <row r="51" spans="1:9">
      <c r="A51" s="293"/>
      <c r="B51" s="88" t="s">
        <v>21</v>
      </c>
      <c r="C51" s="89"/>
      <c r="D51" s="90"/>
      <c r="F51" s="293"/>
      <c r="G51" s="88" t="s">
        <v>21</v>
      </c>
      <c r="H51" s="89"/>
      <c r="I51" s="90"/>
    </row>
    <row r="52" spans="1:9" ht="38.25">
      <c r="A52" s="91" t="s">
        <v>22</v>
      </c>
      <c r="B52" s="92" t="s">
        <v>23</v>
      </c>
      <c r="C52" s="93" t="s">
        <v>24</v>
      </c>
      <c r="D52" s="94" t="s">
        <v>25</v>
      </c>
      <c r="F52" s="91" t="s">
        <v>22</v>
      </c>
      <c r="G52" s="92" t="s">
        <v>23</v>
      </c>
      <c r="H52" s="93" t="s">
        <v>24</v>
      </c>
      <c r="I52" s="94" t="s">
        <v>25</v>
      </c>
    </row>
    <row r="53" spans="1:9">
      <c r="A53" s="95" t="s">
        <v>27</v>
      </c>
      <c r="B53" s="96">
        <v>215.71044890888675</v>
      </c>
      <c r="C53" s="97">
        <v>511.6364414796472</v>
      </c>
      <c r="D53" s="291">
        <v>3320.8984378948217</v>
      </c>
      <c r="F53" s="95" t="s">
        <v>27</v>
      </c>
      <c r="G53" s="96">
        <v>196.75654598480298</v>
      </c>
      <c r="H53" s="97">
        <v>687.98512307627811</v>
      </c>
      <c r="I53" s="291">
        <v>2944.0235739153832</v>
      </c>
    </row>
    <row r="54" spans="1:9">
      <c r="A54" s="98" t="s">
        <v>28</v>
      </c>
      <c r="B54" s="99">
        <v>209.78819609654414</v>
      </c>
      <c r="C54" s="100">
        <v>471.8578642947794</v>
      </c>
      <c r="D54" s="292">
        <v>3279.634684458993</v>
      </c>
      <c r="F54" s="98" t="s">
        <v>28</v>
      </c>
      <c r="G54" s="99">
        <v>191.39918139703263</v>
      </c>
      <c r="H54" s="100">
        <v>612.55415417378504</v>
      </c>
      <c r="I54" s="292">
        <v>2880.7064947863259</v>
      </c>
    </row>
    <row r="55" spans="1:9">
      <c r="A55" s="98" t="s">
        <v>29</v>
      </c>
      <c r="B55" s="99">
        <v>22.267471986868969</v>
      </c>
      <c r="C55" s="100">
        <v>27.872697408911737</v>
      </c>
      <c r="D55" s="292">
        <v>0</v>
      </c>
      <c r="F55" s="98" t="s">
        <v>29</v>
      </c>
      <c r="G55" s="99">
        <v>20.314355798606655</v>
      </c>
      <c r="H55" s="100">
        <v>182.56581497273902</v>
      </c>
      <c r="I55" s="292">
        <v>109.4570711946479</v>
      </c>
    </row>
    <row r="56" spans="1:9">
      <c r="A56" s="95" t="s">
        <v>30</v>
      </c>
      <c r="B56" s="96">
        <v>140.97045366125303</v>
      </c>
      <c r="C56" s="97">
        <v>249.74372728973412</v>
      </c>
      <c r="D56" s="291">
        <v>0</v>
      </c>
      <c r="F56" s="95" t="s">
        <v>30</v>
      </c>
      <c r="G56" s="96">
        <v>127.8370961280576</v>
      </c>
      <c r="H56" s="97">
        <v>267.50748449079009</v>
      </c>
      <c r="I56" s="291">
        <v>48.492889662055404</v>
      </c>
    </row>
    <row r="57" spans="1:9">
      <c r="A57" s="95" t="s">
        <v>31</v>
      </c>
      <c r="B57" s="96">
        <v>46.550270448422133</v>
      </c>
      <c r="C57" s="97">
        <v>194.24143959613355</v>
      </c>
      <c r="D57" s="291">
        <v>3279.634684458993</v>
      </c>
      <c r="F57" s="95" t="s">
        <v>31</v>
      </c>
      <c r="G57" s="96">
        <v>43.247729470368398</v>
      </c>
      <c r="H57" s="97">
        <v>162.48085471025593</v>
      </c>
      <c r="I57" s="291">
        <v>2722.7565339296225</v>
      </c>
    </row>
    <row r="58" spans="1:9">
      <c r="A58" s="98" t="s">
        <v>78</v>
      </c>
      <c r="B58" s="99">
        <v>15.261179436496564</v>
      </c>
      <c r="C58" s="100">
        <v>39.012081248709265</v>
      </c>
      <c r="D58" s="292">
        <v>255.08229583345263</v>
      </c>
      <c r="F58" s="98" t="s">
        <v>78</v>
      </c>
      <c r="G58" s="99">
        <v>13.860224932867412</v>
      </c>
      <c r="H58" s="100">
        <v>68.496361010462451</v>
      </c>
      <c r="I58" s="292">
        <v>210.51931542805897</v>
      </c>
    </row>
    <row r="59" spans="1:9">
      <c r="A59" s="98" t="s">
        <v>33</v>
      </c>
      <c r="B59" s="101">
        <v>0.29837715295525091</v>
      </c>
      <c r="C59" s="102">
        <v>0.1298802161359027</v>
      </c>
      <c r="D59" s="290">
        <v>4.9819998409897093E-3</v>
      </c>
      <c r="F59" s="98" t="s">
        <v>33</v>
      </c>
      <c r="G59" s="101">
        <v>0.33891610752667967</v>
      </c>
      <c r="H59" s="102">
        <v>0.10840556660851058</v>
      </c>
      <c r="I59" s="290">
        <v>4.1461960738262953E-3</v>
      </c>
    </row>
    <row r="60" spans="1:9">
      <c r="A60" s="95" t="s">
        <v>34</v>
      </c>
      <c r="B60" s="103">
        <v>2.4663158166317729E-4</v>
      </c>
      <c r="C60" s="104">
        <v>2.168372703543408E-3</v>
      </c>
      <c r="D60" s="289">
        <v>1.2000000104308128E-2</v>
      </c>
      <c r="F60" s="95" t="s">
        <v>34</v>
      </c>
      <c r="G60" s="103">
        <v>2.2558722463753066E-4</v>
      </c>
      <c r="H60" s="104">
        <v>2.2836116252042803E-3</v>
      </c>
      <c r="I60" s="289">
        <v>9.9868235460468108E-3</v>
      </c>
    </row>
    <row r="61" spans="1:9">
      <c r="A61" s="95" t="s">
        <v>35</v>
      </c>
      <c r="B61" s="96">
        <v>22.794104471713464</v>
      </c>
      <c r="C61" s="97">
        <v>42.90526171776277</v>
      </c>
      <c r="D61" s="291">
        <v>258.78284586056122</v>
      </c>
      <c r="F61" s="95" t="s">
        <v>35</v>
      </c>
      <c r="G61" s="96">
        <v>22.400352613976388</v>
      </c>
      <c r="H61" s="97">
        <v>71.887016439986098</v>
      </c>
      <c r="I61" s="291">
        <v>213.59904374662659</v>
      </c>
    </row>
    <row r="62" spans="1:9">
      <c r="A62" s="98" t="s">
        <v>36</v>
      </c>
      <c r="B62" s="101">
        <v>1.1888417303177239E-2</v>
      </c>
      <c r="C62" s="102">
        <v>7.8136853235808573E-2</v>
      </c>
      <c r="D62" s="290">
        <v>0.10830000142455098</v>
      </c>
      <c r="F62" s="98" t="s">
        <v>36</v>
      </c>
      <c r="G62" s="101">
        <v>1.253222319547009E-2</v>
      </c>
      <c r="H62" s="102">
        <v>6.5338623383425165E-2</v>
      </c>
      <c r="I62" s="290">
        <v>9.0131082905183693E-2</v>
      </c>
    </row>
    <row r="63" spans="1:9">
      <c r="A63" s="98" t="s">
        <v>37</v>
      </c>
      <c r="B63" s="101">
        <v>1.8590437327741027E-2</v>
      </c>
      <c r="C63" s="102">
        <v>2.0823266723778169E-2</v>
      </c>
      <c r="D63" s="290">
        <v>3.4920001029968262</v>
      </c>
      <c r="F63" s="98" t="s">
        <v>37</v>
      </c>
      <c r="G63" s="101">
        <v>1.7015377566560089E-2</v>
      </c>
      <c r="H63" s="102">
        <v>2.550201608073847E-2</v>
      </c>
      <c r="I63" s="290">
        <v>2.9061657123558238</v>
      </c>
    </row>
    <row r="64" spans="1:9">
      <c r="A64" s="95" t="s">
        <v>38</v>
      </c>
      <c r="B64" s="103">
        <v>8.5433069695520183E-2</v>
      </c>
      <c r="C64" s="104">
        <v>5.7620644006734646E-2</v>
      </c>
      <c r="D64" s="289">
        <v>5.7959996738433883E-2</v>
      </c>
      <c r="F64" s="95" t="s">
        <v>38</v>
      </c>
      <c r="G64" s="103">
        <v>7.6263962772320962E-2</v>
      </c>
      <c r="H64" s="104">
        <v>7.5867006287348826E-2</v>
      </c>
      <c r="I64" s="289">
        <v>4.8236354593728673E-2</v>
      </c>
    </row>
    <row r="65" spans="1:9">
      <c r="A65" s="95" t="s">
        <v>39</v>
      </c>
      <c r="B65" s="103">
        <v>8.5170000377016233E-3</v>
      </c>
      <c r="C65" s="104">
        <v>1.389187720896159E-2</v>
      </c>
      <c r="D65" s="289">
        <v>2.8600000776350498E-2</v>
      </c>
      <c r="F65" s="95" t="s">
        <v>39</v>
      </c>
      <c r="G65" s="103">
        <v>5.3984336615968041E-2</v>
      </c>
      <c r="H65" s="104">
        <v>1.3736056056630568E-2</v>
      </c>
      <c r="I65" s="289">
        <v>2.7241106576087651E-2</v>
      </c>
    </row>
    <row r="66" spans="1:9">
      <c r="A66" s="98" t="s">
        <v>40</v>
      </c>
      <c r="B66" s="101">
        <v>5.160442156279004E-3</v>
      </c>
      <c r="C66" s="102">
        <v>7.036464855361968E-3</v>
      </c>
      <c r="D66" s="290">
        <v>1.4800000004470348E-2</v>
      </c>
      <c r="F66" s="98" t="s">
        <v>40</v>
      </c>
      <c r="G66" s="101">
        <v>1.6005393573219277E-2</v>
      </c>
      <c r="H66" s="102">
        <v>7.0473372426065085E-3</v>
      </c>
      <c r="I66" s="290">
        <v>1.3541764694617792E-2</v>
      </c>
    </row>
    <row r="67" spans="1:9">
      <c r="A67" s="98" t="s">
        <v>41</v>
      </c>
      <c r="B67" s="101">
        <v>3.6113183705534221E-2</v>
      </c>
      <c r="C67" s="102">
        <v>3.9022614177991223E-2</v>
      </c>
      <c r="D67" s="290">
        <v>4.1439688782737511E-3</v>
      </c>
      <c r="F67" s="98" t="s">
        <v>41</v>
      </c>
      <c r="G67" s="101">
        <v>3.3364483597672752E-2</v>
      </c>
      <c r="H67" s="102">
        <v>9.6274450090994806E-2</v>
      </c>
      <c r="I67" s="290">
        <v>3.4350737235545499E-3</v>
      </c>
    </row>
    <row r="68" spans="1:9">
      <c r="A68" s="95" t="s">
        <v>42</v>
      </c>
      <c r="B68" s="103">
        <v>1.9643430507126063E-3</v>
      </c>
      <c r="C68" s="104">
        <v>4.9632124042350387E-2</v>
      </c>
      <c r="D68" s="289">
        <v>6.7362600886070712E-2</v>
      </c>
      <c r="F68" s="95" t="s">
        <v>42</v>
      </c>
      <c r="G68" s="103">
        <v>1.6677318734868178E-3</v>
      </c>
      <c r="H68" s="104">
        <v>4.1314518175395103E-2</v>
      </c>
      <c r="I68" s="289">
        <v>5.6061533567024258E-2</v>
      </c>
    </row>
    <row r="69" spans="1:9">
      <c r="A69" s="95" t="s">
        <v>43</v>
      </c>
      <c r="B69" s="103">
        <v>8.7274517651073243E-4</v>
      </c>
      <c r="C69" s="104">
        <v>9.0877212888428004E-3</v>
      </c>
      <c r="D69" s="289">
        <v>2.172024064064026</v>
      </c>
      <c r="F69" s="95" t="s">
        <v>43</v>
      </c>
      <c r="G69" s="103">
        <v>8.0506804776823645E-4</v>
      </c>
      <c r="H69" s="104">
        <v>9.5709690519024306E-3</v>
      </c>
      <c r="I69" s="289">
        <v>1.8076350730853226</v>
      </c>
    </row>
    <row r="70" spans="1:9">
      <c r="A70" s="98" t="s">
        <v>44</v>
      </c>
      <c r="B70" s="101">
        <v>4.0177999542229826E-3</v>
      </c>
      <c r="C70" s="102">
        <v>1.9780011558683124E-2</v>
      </c>
      <c r="D70" s="290">
        <v>3.6051117971305877E-2</v>
      </c>
      <c r="F70" s="98" t="s">
        <v>44</v>
      </c>
      <c r="G70" s="101">
        <v>3.6220840911197075E-3</v>
      </c>
      <c r="H70" s="102">
        <v>2.1996172932371709E-2</v>
      </c>
      <c r="I70" s="290">
        <v>3.0003012557299234E-2</v>
      </c>
    </row>
    <row r="71" spans="1:9">
      <c r="A71" s="98" t="s">
        <v>45</v>
      </c>
      <c r="B71" s="101">
        <v>3.1396655521224597E-4</v>
      </c>
      <c r="C71" s="102">
        <v>4.3859900705669839E-3</v>
      </c>
      <c r="D71" s="290">
        <v>1.7789200482890011E-2</v>
      </c>
      <c r="F71" s="98" t="s">
        <v>45</v>
      </c>
      <c r="G71" s="101">
        <v>2.768689657118069E-4</v>
      </c>
      <c r="H71" s="102">
        <v>4.0419912285411079E-3</v>
      </c>
      <c r="I71" s="290">
        <v>1.694396829032652E-2</v>
      </c>
    </row>
    <row r="72" spans="1:9">
      <c r="A72" s="95" t="s">
        <v>46</v>
      </c>
      <c r="B72" s="103">
        <v>2.7139564343316099E-4</v>
      </c>
      <c r="C72" s="104">
        <v>2.6823146482692702E-3</v>
      </c>
      <c r="D72" s="289">
        <v>9.2056000027805566E-3</v>
      </c>
      <c r="F72" s="95" t="s">
        <v>46</v>
      </c>
      <c r="G72" s="103">
        <v>2.3725685214531675E-4</v>
      </c>
      <c r="H72" s="104">
        <v>2.4712994289770823E-3</v>
      </c>
      <c r="I72" s="289">
        <v>8.4229776400522663E-3</v>
      </c>
    </row>
    <row r="73" spans="1:9" ht="13.5" thickBot="1">
      <c r="A73" s="105" t="s">
        <v>47</v>
      </c>
      <c r="B73" s="106">
        <v>2.4842039318585057E-3</v>
      </c>
      <c r="C73" s="107">
        <v>1.5895950430041411E-2</v>
      </c>
      <c r="D73" s="108">
        <v>2.577548642286273E-3</v>
      </c>
      <c r="F73" s="105" t="s">
        <v>47</v>
      </c>
      <c r="G73" s="106">
        <v>2.1755582092731745E-3</v>
      </c>
      <c r="H73" s="107">
        <v>2.4135936935201288E-2</v>
      </c>
      <c r="I73" s="108">
        <v>2.1366158560509299E-3</v>
      </c>
    </row>
    <row r="74" spans="1:9" ht="13.5" thickBot="1">
      <c r="A74" s="86" t="s">
        <v>80</v>
      </c>
      <c r="B74" s="87"/>
      <c r="C74" s="87"/>
      <c r="D74" s="87"/>
      <c r="F74" s="86" t="s">
        <v>2255</v>
      </c>
      <c r="G74" s="87"/>
      <c r="H74" s="87"/>
      <c r="I74" s="87"/>
    </row>
    <row r="75" spans="1:9">
      <c r="A75" s="293"/>
      <c r="B75" s="88" t="s">
        <v>21</v>
      </c>
      <c r="C75" s="89"/>
      <c r="D75" s="90"/>
      <c r="F75" s="293"/>
      <c r="G75" s="88" t="s">
        <v>21</v>
      </c>
      <c r="H75" s="89"/>
      <c r="I75" s="90"/>
    </row>
    <row r="76" spans="1:9" ht="38.25">
      <c r="A76" s="91" t="s">
        <v>22</v>
      </c>
      <c r="B76" s="92" t="s">
        <v>23</v>
      </c>
      <c r="C76" s="93" t="s">
        <v>24</v>
      </c>
      <c r="D76" s="94" t="s">
        <v>25</v>
      </c>
      <c r="F76" s="91" t="s">
        <v>22</v>
      </c>
      <c r="G76" s="92" t="s">
        <v>23</v>
      </c>
      <c r="H76" s="93" t="s">
        <v>24</v>
      </c>
      <c r="I76" s="94" t="s">
        <v>25</v>
      </c>
    </row>
    <row r="77" spans="1:9">
      <c r="A77" s="95" t="s">
        <v>27</v>
      </c>
      <c r="B77" s="96">
        <v>251.47024653772331</v>
      </c>
      <c r="C77" s="97">
        <v>533.59795700476548</v>
      </c>
      <c r="D77" s="291">
        <v>3874.3812909428875</v>
      </c>
      <c r="F77" s="95" t="s">
        <v>27</v>
      </c>
      <c r="G77" s="96">
        <v>258.79433740629065</v>
      </c>
      <c r="H77" s="97">
        <v>461.09698161509993</v>
      </c>
      <c r="I77" s="291">
        <v>3874.3812909428875</v>
      </c>
    </row>
    <row r="78" spans="1:9">
      <c r="A78" s="98" t="s">
        <v>28</v>
      </c>
      <c r="B78" s="99">
        <v>244.56622133953942</v>
      </c>
      <c r="C78" s="100">
        <v>526.11476119507779</v>
      </c>
      <c r="D78" s="292">
        <v>3874.3812909428875</v>
      </c>
      <c r="F78" s="98" t="s">
        <v>28</v>
      </c>
      <c r="G78" s="99">
        <v>252.12905182510869</v>
      </c>
      <c r="H78" s="100">
        <v>547.93310463077205</v>
      </c>
      <c r="I78" s="292">
        <v>3147.8224310301971</v>
      </c>
    </row>
    <row r="79" spans="1:9">
      <c r="A79" s="98" t="s">
        <v>29</v>
      </c>
      <c r="B79" s="99">
        <v>25.958903236416646</v>
      </c>
      <c r="C79" s="100">
        <v>28.251697999595404</v>
      </c>
      <c r="D79" s="292">
        <v>0</v>
      </c>
      <c r="F79" s="98" t="s">
        <v>29</v>
      </c>
      <c r="G79" s="99">
        <v>25.062113414467824</v>
      </c>
      <c r="H79" s="100">
        <v>52.174414060169241</v>
      </c>
      <c r="I79" s="292">
        <v>0</v>
      </c>
    </row>
    <row r="80" spans="1:9">
      <c r="A80" s="95" t="s">
        <v>30</v>
      </c>
      <c r="B80" s="96">
        <v>164.34009069121902</v>
      </c>
      <c r="C80" s="97">
        <v>274.41108707723373</v>
      </c>
      <c r="D80" s="291">
        <v>0</v>
      </c>
      <c r="F80" s="95" t="s">
        <v>30</v>
      </c>
      <c r="G80" s="96">
        <v>146.6148960719209</v>
      </c>
      <c r="H80" s="97">
        <v>298.47925358550964</v>
      </c>
      <c r="I80" s="291">
        <v>0</v>
      </c>
    </row>
    <row r="81" spans="1:9">
      <c r="A81" s="95" t="s">
        <v>31</v>
      </c>
      <c r="B81" s="96">
        <v>54.267227411903789</v>
      </c>
      <c r="C81" s="97">
        <v>223.45197611824864</v>
      </c>
      <c r="D81" s="291">
        <v>3874.3812909428875</v>
      </c>
      <c r="F81" s="95" t="s">
        <v>31</v>
      </c>
      <c r="G81" s="96">
        <v>80.452042338719949</v>
      </c>
      <c r="H81" s="97">
        <v>197.27943698509318</v>
      </c>
      <c r="I81" s="291">
        <v>3147.8224310301971</v>
      </c>
    </row>
    <row r="82" spans="1:9">
      <c r="A82" s="98" t="s">
        <v>78</v>
      </c>
      <c r="B82" s="99">
        <v>21.395350663673391</v>
      </c>
      <c r="C82" s="100">
        <v>43.128568353395856</v>
      </c>
      <c r="D82" s="292">
        <v>306.34889237751491</v>
      </c>
      <c r="F82" s="98" t="s">
        <v>78</v>
      </c>
      <c r="G82" s="99">
        <v>-36.600169596621171</v>
      </c>
      <c r="H82" s="100">
        <v>42.317660344468699</v>
      </c>
      <c r="I82" s="292">
        <v>307.017885402334</v>
      </c>
    </row>
    <row r="83" spans="1:9">
      <c r="A83" s="98" t="s">
        <v>33</v>
      </c>
      <c r="B83" s="101">
        <v>0.34784117595793362</v>
      </c>
      <c r="C83" s="102">
        <v>0.14238246216968709</v>
      </c>
      <c r="D83" s="290">
        <v>2.6000000070780516E-3</v>
      </c>
      <c r="F83" s="98" t="s">
        <v>33</v>
      </c>
      <c r="G83" s="101">
        <v>0.29261661245028653</v>
      </c>
      <c r="H83" s="102">
        <v>0.15390200704382978</v>
      </c>
      <c r="I83" s="290">
        <v>2.6000000070780516E-3</v>
      </c>
    </row>
    <row r="84" spans="1:9">
      <c r="A84" s="95" t="s">
        <v>34</v>
      </c>
      <c r="B84" s="103">
        <v>2.8751738712028959E-4</v>
      </c>
      <c r="C84" s="104">
        <v>5.7213041269504352E-4</v>
      </c>
      <c r="D84" s="289">
        <v>1.2000000104308128E-2</v>
      </c>
      <c r="F84" s="95" t="s">
        <v>34</v>
      </c>
      <c r="G84" s="103">
        <v>7.7351049029553958E-3</v>
      </c>
      <c r="H84" s="104">
        <v>5.7632172733761556E-4</v>
      </c>
      <c r="I84" s="289">
        <v>1.2000000104308128E-2</v>
      </c>
    </row>
    <row r="85" spans="1:9">
      <c r="A85" s="95" t="s">
        <v>35</v>
      </c>
      <c r="B85" s="96">
        <v>30.177060243983576</v>
      </c>
      <c r="C85" s="97">
        <v>46.858624770621155</v>
      </c>
      <c r="D85" s="291">
        <v>309.98989240877569</v>
      </c>
      <c r="F85" s="95" t="s">
        <v>35</v>
      </c>
      <c r="G85" s="96">
        <v>-26.9796930242833</v>
      </c>
      <c r="H85" s="97">
        <v>46.336954395311054</v>
      </c>
      <c r="I85" s="291">
        <v>310.65888543359478</v>
      </c>
    </row>
    <row r="86" spans="1:9">
      <c r="A86" s="98" t="s">
        <v>36</v>
      </c>
      <c r="B86" s="101">
        <v>1.3859241614373886E-2</v>
      </c>
      <c r="C86" s="102">
        <v>1.7305417417772601E-2</v>
      </c>
      <c r="D86" s="290">
        <v>5.9999998658895493E-2</v>
      </c>
      <c r="F86" s="98" t="s">
        <v>36</v>
      </c>
      <c r="G86" s="101">
        <v>1.3304822785754639E-2</v>
      </c>
      <c r="H86" s="102">
        <v>4.2055127530533948E-2</v>
      </c>
      <c r="I86" s="290">
        <v>5.9999998658895493E-2</v>
      </c>
    </row>
    <row r="87" spans="1:9">
      <c r="A87" s="98" t="s">
        <v>37</v>
      </c>
      <c r="B87" s="101">
        <v>2.1672301372965774E-2</v>
      </c>
      <c r="C87" s="102">
        <v>2.319814100078323E-2</v>
      </c>
      <c r="D87" s="290">
        <v>0.5339999794960022</v>
      </c>
      <c r="F87" s="98" t="s">
        <v>37</v>
      </c>
      <c r="G87" s="101">
        <v>2.485648195271728E-2</v>
      </c>
      <c r="H87" s="102">
        <v>2.3238782104672361E-2</v>
      </c>
      <c r="I87" s="290">
        <v>0.5339999794960022</v>
      </c>
    </row>
    <row r="88" spans="1:9">
      <c r="A88" s="95" t="s">
        <v>38</v>
      </c>
      <c r="B88" s="103">
        <v>9.9595894438481589E-2</v>
      </c>
      <c r="C88" s="104">
        <v>6.2953512211245718E-2</v>
      </c>
      <c r="D88" s="289">
        <v>7.9999998211860657E-2</v>
      </c>
      <c r="F88" s="95" t="s">
        <v>38</v>
      </c>
      <c r="G88" s="103">
        <v>9.6988789199738301E-2</v>
      </c>
      <c r="H88" s="104">
        <v>6.3163369213925208E-2</v>
      </c>
      <c r="I88" s="289">
        <v>7.9999998211860657E-2</v>
      </c>
    </row>
    <row r="89" spans="1:9">
      <c r="A89" s="95" t="s">
        <v>39</v>
      </c>
      <c r="B89" s="103">
        <v>9.928921431836997E-3</v>
      </c>
      <c r="C89" s="104">
        <v>1.4552207250221374E-2</v>
      </c>
      <c r="D89" s="289">
        <v>2.9500000178813934E-2</v>
      </c>
      <c r="F89" s="95" t="s">
        <v>39</v>
      </c>
      <c r="G89" s="103">
        <v>1.0096908740239736E-2</v>
      </c>
      <c r="H89" s="104">
        <v>1.8936698013141712E-2</v>
      </c>
      <c r="I89" s="289">
        <v>2.9500000178813934E-2</v>
      </c>
    </row>
    <row r="90" spans="1:9">
      <c r="A90" s="98" t="s">
        <v>40</v>
      </c>
      <c r="B90" s="101">
        <v>6.0159239751583476E-3</v>
      </c>
      <c r="C90" s="102">
        <v>7.6383309031560981E-3</v>
      </c>
      <c r="D90" s="290">
        <v>1.5699999872595072E-2</v>
      </c>
      <c r="F90" s="98" t="s">
        <v>40</v>
      </c>
      <c r="G90" s="101">
        <v>6.1921797443011944E-3</v>
      </c>
      <c r="H90" s="102">
        <v>8.7774449332311353E-3</v>
      </c>
      <c r="I90" s="290">
        <v>1.5699999872595072E-2</v>
      </c>
    </row>
    <row r="91" spans="1:9">
      <c r="A91" s="98" t="s">
        <v>41</v>
      </c>
      <c r="B91" s="101">
        <v>4.2099913358989126E-2</v>
      </c>
      <c r="C91" s="102">
        <v>4.22944585694007E-2</v>
      </c>
      <c r="D91" s="290">
        <v>2.1103745743572978E-3</v>
      </c>
      <c r="F91" s="98" t="s">
        <v>41</v>
      </c>
      <c r="G91" s="101">
        <v>4.7303171872174712E-2</v>
      </c>
      <c r="H91" s="102">
        <v>4.1355180846786473E-2</v>
      </c>
      <c r="I91" s="290">
        <v>1.7146181349180049E-3</v>
      </c>
    </row>
    <row r="92" spans="1:9">
      <c r="A92" s="95" t="s">
        <v>42</v>
      </c>
      <c r="B92" s="103">
        <v>2.2899856439314663E-3</v>
      </c>
      <c r="C92" s="104">
        <v>9.519907183056316E-3</v>
      </c>
      <c r="D92" s="289">
        <v>3.7319999165833E-2</v>
      </c>
      <c r="F92" s="95" t="s">
        <v>42</v>
      </c>
      <c r="G92" s="103">
        <v>2.0277059827196135E-3</v>
      </c>
      <c r="H92" s="104">
        <v>8.0884397022630995E-3</v>
      </c>
      <c r="I92" s="289">
        <v>3.7319999165833E-2</v>
      </c>
    </row>
    <row r="93" spans="1:9">
      <c r="A93" s="95" t="s">
        <v>43</v>
      </c>
      <c r="B93" s="103">
        <v>1.0174261182612611E-3</v>
      </c>
      <c r="C93" s="104">
        <v>1.0691257062815273E-2</v>
      </c>
      <c r="D93" s="289">
        <v>0.33214798724651334</v>
      </c>
      <c r="F93" s="95" t="s">
        <v>43</v>
      </c>
      <c r="G93" s="103">
        <v>9.7171406996161911E-4</v>
      </c>
      <c r="H93" s="104">
        <v>8.9338069216956893E-3</v>
      </c>
      <c r="I93" s="289">
        <v>0.33214798724651334</v>
      </c>
    </row>
    <row r="94" spans="1:9">
      <c r="A94" s="98" t="s">
        <v>44</v>
      </c>
      <c r="B94" s="101">
        <v>4.6838581540130609E-3</v>
      </c>
      <c r="C94" s="102">
        <v>2.3121802710817783E-2</v>
      </c>
      <c r="D94" s="290">
        <v>4.9759998887777331E-2</v>
      </c>
      <c r="F94" s="98" t="s">
        <v>44</v>
      </c>
      <c r="G94" s="101">
        <v>4.2100203199048978E-3</v>
      </c>
      <c r="H94" s="102">
        <v>1.9682129721775601E-2</v>
      </c>
      <c r="I94" s="290">
        <v>4.9759998887777331E-2</v>
      </c>
    </row>
    <row r="95" spans="1:9">
      <c r="A95" s="98" t="s">
        <v>45</v>
      </c>
      <c r="B95" s="101">
        <v>3.6601494013473602E-4</v>
      </c>
      <c r="C95" s="102">
        <v>5.1554862567932506E-3</v>
      </c>
      <c r="D95" s="290">
        <v>1.8349000111222268E-2</v>
      </c>
      <c r="F95" s="98" t="s">
        <v>45</v>
      </c>
      <c r="G95" s="101">
        <v>3.5465775094670275E-4</v>
      </c>
      <c r="H95" s="102">
        <v>4.2376487679936653E-3</v>
      </c>
      <c r="I95" s="290">
        <v>1.8349000111222268E-2</v>
      </c>
    </row>
    <row r="96" spans="1:9">
      <c r="A96" s="95" t="s">
        <v>46</v>
      </c>
      <c r="B96" s="103">
        <v>3.1638675691703777E-4</v>
      </c>
      <c r="C96" s="104">
        <v>3.1481612719393686E-3</v>
      </c>
      <c r="D96" s="289">
        <v>9.7653999207541354E-3</v>
      </c>
      <c r="F96" s="95" t="s">
        <v>46</v>
      </c>
      <c r="G96" s="103">
        <v>2.9425058925641723E-4</v>
      </c>
      <c r="H96" s="104">
        <v>2.5938845919674584E-3</v>
      </c>
      <c r="I96" s="289">
        <v>9.7653999207541354E-3</v>
      </c>
    </row>
    <row r="97" spans="1:9" ht="13.5" thickBot="1">
      <c r="A97" s="105" t="s">
        <v>47</v>
      </c>
      <c r="B97" s="106">
        <v>2.896027421732855E-3</v>
      </c>
      <c r="C97" s="107">
        <v>1.852315895564062E-2</v>
      </c>
      <c r="D97" s="108">
        <v>1.3126529852502391E-3</v>
      </c>
      <c r="F97" s="105" t="s">
        <v>47</v>
      </c>
      <c r="G97" s="106">
        <v>2.711673438686767E-3</v>
      </c>
      <c r="H97" s="107">
        <v>1.568259170998439E-2</v>
      </c>
      <c r="I97" s="108">
        <v>1.0664924799189991E-3</v>
      </c>
    </row>
    <row r="98" spans="1:9" ht="13.5" thickBot="1">
      <c r="A98" s="86" t="s">
        <v>81</v>
      </c>
      <c r="B98" s="87"/>
      <c r="C98" s="87"/>
      <c r="D98" s="87"/>
      <c r="F98" s="86" t="s">
        <v>51</v>
      </c>
      <c r="G98" s="87"/>
      <c r="H98" s="87"/>
      <c r="I98" s="87"/>
    </row>
    <row r="99" spans="1:9">
      <c r="A99" s="293"/>
      <c r="B99" s="88" t="s">
        <v>21</v>
      </c>
      <c r="C99" s="89"/>
      <c r="D99" s="90"/>
      <c r="F99" s="293"/>
      <c r="G99" s="88" t="s">
        <v>21</v>
      </c>
      <c r="H99" s="89"/>
      <c r="I99" s="90"/>
    </row>
    <row r="100" spans="1:9" ht="38.25">
      <c r="A100" s="91" t="s">
        <v>22</v>
      </c>
      <c r="B100" s="92" t="s">
        <v>23</v>
      </c>
      <c r="C100" s="93" t="s">
        <v>24</v>
      </c>
      <c r="D100" s="94" t="s">
        <v>25</v>
      </c>
      <c r="F100" s="91" t="s">
        <v>22</v>
      </c>
      <c r="G100" s="92" t="s">
        <v>23</v>
      </c>
      <c r="H100" s="93" t="s">
        <v>24</v>
      </c>
      <c r="I100" s="94" t="s">
        <v>25</v>
      </c>
    </row>
    <row r="101" spans="1:9">
      <c r="A101" s="95" t="s">
        <v>27</v>
      </c>
      <c r="B101" s="96">
        <v>282.07549520359373</v>
      </c>
      <c r="C101" s="97">
        <v>790.88804838125532</v>
      </c>
      <c r="D101" s="291">
        <v>3874.3812909428875</v>
      </c>
      <c r="F101" s="95" t="s">
        <v>27</v>
      </c>
      <c r="G101" s="96">
        <v>145.8408634594837</v>
      </c>
      <c r="H101" s="97">
        <v>2144.2841292404219</v>
      </c>
      <c r="I101" s="291">
        <v>1553.8962662635975</v>
      </c>
    </row>
    <row r="102" spans="1:9">
      <c r="A102" s="98" t="s">
        <v>28</v>
      </c>
      <c r="B102" s="99">
        <v>268.94645620849934</v>
      </c>
      <c r="C102" s="100">
        <v>599.47504666460748</v>
      </c>
      <c r="D102" s="292">
        <v>3635.961352820812</v>
      </c>
      <c r="F102" s="98" t="s">
        <v>28</v>
      </c>
      <c r="G102" s="99">
        <v>142.1985983194815</v>
      </c>
      <c r="H102" s="100">
        <v>1799.2682177162221</v>
      </c>
      <c r="I102" s="292">
        <v>1317.3246203282126</v>
      </c>
    </row>
    <row r="103" spans="1:9">
      <c r="A103" s="98" t="s">
        <v>29</v>
      </c>
      <c r="B103" s="99">
        <v>29.659829355943213</v>
      </c>
      <c r="C103" s="100">
        <v>46.443744320928026</v>
      </c>
      <c r="D103" s="292">
        <v>0</v>
      </c>
      <c r="F103" s="98" t="s">
        <v>29</v>
      </c>
      <c r="G103" s="99">
        <v>15.083113566176197</v>
      </c>
      <c r="H103" s="100">
        <v>1295.8150099733862</v>
      </c>
      <c r="I103" s="292">
        <v>889.47097041135487</v>
      </c>
    </row>
    <row r="104" spans="1:9">
      <c r="A104" s="95" t="s">
        <v>30</v>
      </c>
      <c r="B104" s="96">
        <v>177.21057820332277</v>
      </c>
      <c r="C104" s="97">
        <v>340.67475039353633</v>
      </c>
      <c r="D104" s="291">
        <v>0</v>
      </c>
      <c r="F104" s="95" t="s">
        <v>30</v>
      </c>
      <c r="G104" s="96">
        <v>89.241982220398981</v>
      </c>
      <c r="H104" s="97">
        <v>491.52669146313809</v>
      </c>
      <c r="I104" s="291">
        <v>394.06332688233556</v>
      </c>
    </row>
    <row r="105" spans="1:9">
      <c r="A105" s="95" t="s">
        <v>31</v>
      </c>
      <c r="B105" s="96">
        <v>62.076048649233371</v>
      </c>
      <c r="C105" s="97">
        <v>212.3565519501432</v>
      </c>
      <c r="D105" s="291">
        <v>3635.961352820812</v>
      </c>
      <c r="F105" s="95" t="s">
        <v>31</v>
      </c>
      <c r="G105" s="96">
        <v>37.873502532906329</v>
      </c>
      <c r="H105" s="97">
        <v>11.926516279697893</v>
      </c>
      <c r="I105" s="291">
        <v>33.790323034522203</v>
      </c>
    </row>
    <row r="106" spans="1:9">
      <c r="A106" s="98" t="s">
        <v>78</v>
      </c>
      <c r="B106" s="99">
        <v>8.6195247840222855</v>
      </c>
      <c r="C106" s="100">
        <v>47.743209671009097</v>
      </c>
      <c r="D106" s="292">
        <v>305.53322279593334</v>
      </c>
      <c r="F106" s="98" t="s">
        <v>78</v>
      </c>
      <c r="G106" s="99">
        <v>9.8304804730163511</v>
      </c>
      <c r="H106" s="100">
        <v>293.82702414919925</v>
      </c>
      <c r="I106" s="292">
        <v>0</v>
      </c>
    </row>
    <row r="107" spans="1:9">
      <c r="A107" s="98" t="s">
        <v>33</v>
      </c>
      <c r="B107" s="101">
        <v>0.33700794599646361</v>
      </c>
      <c r="C107" s="102">
        <v>0.17762394383468486</v>
      </c>
      <c r="D107" s="290">
        <v>2.6000000070780516E-3</v>
      </c>
      <c r="F107" s="98" t="s">
        <v>33</v>
      </c>
      <c r="G107" s="101">
        <v>0.74420917382656837</v>
      </c>
      <c r="H107" s="102">
        <v>6.0421021178218822E-3</v>
      </c>
      <c r="I107" s="290">
        <v>0</v>
      </c>
    </row>
    <row r="108" spans="1:9">
      <c r="A108" s="95" t="s">
        <v>34</v>
      </c>
      <c r="B108" s="103">
        <v>9.7450149179079213E-3</v>
      </c>
      <c r="C108" s="104">
        <v>6.5730320803619399E-4</v>
      </c>
      <c r="D108" s="289">
        <v>1.2000000104308128E-2</v>
      </c>
      <c r="F108" s="95" t="s">
        <v>34</v>
      </c>
      <c r="G108" s="103">
        <v>1.7183760029239935E-4</v>
      </c>
      <c r="H108" s="104">
        <v>3.9507619897173182E-3</v>
      </c>
      <c r="I108" s="289">
        <v>0</v>
      </c>
    </row>
    <row r="109" spans="1:9">
      <c r="A109" s="95" t="s">
        <v>35</v>
      </c>
      <c r="B109" s="96">
        <v>19.948737879470436</v>
      </c>
      <c r="C109" s="97">
        <v>52.379684622871004</v>
      </c>
      <c r="D109" s="291">
        <v>309.17422282719411</v>
      </c>
      <c r="F109" s="95" t="s">
        <v>35</v>
      </c>
      <c r="G109" s="96">
        <v>28.486917423567697</v>
      </c>
      <c r="H109" s="97">
        <v>295.15540377508057</v>
      </c>
      <c r="I109" s="291">
        <v>0</v>
      </c>
    </row>
    <row r="110" spans="1:9">
      <c r="A110" s="98" t="s">
        <v>36</v>
      </c>
      <c r="B110" s="101">
        <v>1.3206764637138985E-2</v>
      </c>
      <c r="C110" s="102">
        <v>2.8700876777158789E-2</v>
      </c>
      <c r="D110" s="290">
        <v>5.9999998658895493E-2</v>
      </c>
      <c r="F110" s="98" t="s">
        <v>36</v>
      </c>
      <c r="G110" s="101">
        <v>2.1758072654613825E-2</v>
      </c>
      <c r="H110" s="102">
        <v>4.6188163441967887E-3</v>
      </c>
      <c r="I110" s="290">
        <v>0</v>
      </c>
    </row>
    <row r="111" spans="1:9">
      <c r="A111" s="98" t="s">
        <v>37</v>
      </c>
      <c r="B111" s="101">
        <v>2.3496408474691834E-2</v>
      </c>
      <c r="C111" s="102">
        <v>2.5569374834820694E-2</v>
      </c>
      <c r="D111" s="290">
        <v>0.5339999794960022</v>
      </c>
      <c r="F111" s="98" t="s">
        <v>37</v>
      </c>
      <c r="G111" s="101">
        <v>1.3043745491463667E-2</v>
      </c>
      <c r="H111" s="102">
        <v>6.6967410903566851E-2</v>
      </c>
      <c r="I111" s="290">
        <v>0</v>
      </c>
    </row>
    <row r="112" spans="1:9">
      <c r="A112" s="95" t="s">
        <v>38</v>
      </c>
      <c r="B112" s="103">
        <v>0.10408439356348029</v>
      </c>
      <c r="C112" s="104">
        <v>6.82476376245338E-2</v>
      </c>
      <c r="D112" s="289">
        <v>7.9999998211860657E-2</v>
      </c>
      <c r="F112" s="95" t="s">
        <v>38</v>
      </c>
      <c r="G112" s="103">
        <v>4.4252469676870333E-2</v>
      </c>
      <c r="H112" s="104">
        <v>0.22837357074546455</v>
      </c>
      <c r="I112" s="289">
        <v>0</v>
      </c>
    </row>
    <row r="113" spans="1:9">
      <c r="A113" s="95" t="s">
        <v>39</v>
      </c>
      <c r="B113" s="103">
        <v>1.0690001005525786E-2</v>
      </c>
      <c r="C113" s="104">
        <v>2.098103527916358E-2</v>
      </c>
      <c r="D113" s="289">
        <v>2.9500000178813934E-2</v>
      </c>
      <c r="F113" s="95" t="s">
        <v>39</v>
      </c>
      <c r="G113" s="103">
        <v>0.38131673646260311</v>
      </c>
      <c r="H113" s="104">
        <v>1.8045193947614318E-2</v>
      </c>
      <c r="I113" s="289">
        <v>2.0500000566244125E-2</v>
      </c>
    </row>
    <row r="114" spans="1:9">
      <c r="A114" s="98" t="s">
        <v>40</v>
      </c>
      <c r="B114" s="101">
        <v>6.2700733304734378E-3</v>
      </c>
      <c r="C114" s="102">
        <v>9.2653872394534674E-3</v>
      </c>
      <c r="D114" s="290">
        <v>1.5699999872595072E-2</v>
      </c>
      <c r="F114" s="98" t="s">
        <v>40</v>
      </c>
      <c r="G114" s="101">
        <v>9.5301988654020356E-2</v>
      </c>
      <c r="H114" s="102">
        <v>9.8699085317186814E-3</v>
      </c>
      <c r="I114" s="290">
        <v>7.3000001721084118E-3</v>
      </c>
    </row>
    <row r="115" spans="1:9">
      <c r="A115" s="98" t="s">
        <v>41</v>
      </c>
      <c r="B115" s="101">
        <v>4.7982820467799996E-2</v>
      </c>
      <c r="C115" s="102">
        <v>4.4496688558838732E-2</v>
      </c>
      <c r="D115" s="290">
        <v>2.0070438210189798E-3</v>
      </c>
      <c r="F115" s="98" t="s">
        <v>41</v>
      </c>
      <c r="G115" s="101">
        <v>2.7865286199105613E-2</v>
      </c>
      <c r="H115" s="102">
        <v>0.5194866140222103</v>
      </c>
      <c r="I115" s="290">
        <v>0</v>
      </c>
    </row>
    <row r="116" spans="1:9">
      <c r="A116" s="95" t="s">
        <v>42</v>
      </c>
      <c r="B116" s="103">
        <v>2.1906098732702062E-3</v>
      </c>
      <c r="C116" s="104">
        <v>1.2039050844737088E-2</v>
      </c>
      <c r="D116" s="289">
        <v>3.7319999165833E-2</v>
      </c>
      <c r="F116" s="95" t="s">
        <v>42</v>
      </c>
      <c r="G116" s="103">
        <v>3.2035578441003164E-4</v>
      </c>
      <c r="H116" s="104">
        <v>1.4041981726314694E-3</v>
      </c>
      <c r="I116" s="289">
        <v>0</v>
      </c>
    </row>
    <row r="117" spans="1:9">
      <c r="A117" s="95" t="s">
        <v>43</v>
      </c>
      <c r="B117" s="103">
        <v>1.1431800353074065E-3</v>
      </c>
      <c r="C117" s="104">
        <v>1.010710929939947E-2</v>
      </c>
      <c r="D117" s="289">
        <v>0.33214798724651334</v>
      </c>
      <c r="F117" s="95" t="s">
        <v>43</v>
      </c>
      <c r="G117" s="103">
        <v>6.6326538773610257E-4</v>
      </c>
      <c r="H117" s="104">
        <v>1.6560029657873183E-2</v>
      </c>
      <c r="I117" s="289">
        <v>0</v>
      </c>
    </row>
    <row r="118" spans="1:9">
      <c r="A118" s="98" t="s">
        <v>44</v>
      </c>
      <c r="B118" s="101">
        <v>4.8087455315528362E-3</v>
      </c>
      <c r="C118" s="102">
        <v>2.2084038615455517E-2</v>
      </c>
      <c r="D118" s="290">
        <v>4.9759998887777331E-2</v>
      </c>
      <c r="F118" s="98" t="s">
        <v>44</v>
      </c>
      <c r="G118" s="101">
        <v>2.3695697635214758E-3</v>
      </c>
      <c r="H118" s="102">
        <v>4.5505653937883278E-2</v>
      </c>
      <c r="I118" s="290">
        <v>0</v>
      </c>
    </row>
    <row r="119" spans="1:9">
      <c r="A119" s="98" t="s">
        <v>45</v>
      </c>
      <c r="B119" s="101">
        <v>3.8237233875293327E-4</v>
      </c>
      <c r="C119" s="102">
        <v>4.820961538856818E-3</v>
      </c>
      <c r="D119" s="290">
        <v>1.8349000111222268E-2</v>
      </c>
      <c r="F119" s="98" t="s">
        <v>45</v>
      </c>
      <c r="G119" s="101">
        <v>1.3498963699320633E-4</v>
      </c>
      <c r="H119" s="102">
        <v>3.3016628970565895E-3</v>
      </c>
      <c r="I119" s="290">
        <v>1.2751000352203846E-2</v>
      </c>
    </row>
    <row r="120" spans="1:9">
      <c r="A120" s="95" t="s">
        <v>46</v>
      </c>
      <c r="B120" s="103">
        <v>3.2648509844135902E-4</v>
      </c>
      <c r="C120" s="104">
        <v>2.9476201974437521E-3</v>
      </c>
      <c r="D120" s="289">
        <v>9.7653999207541354E-3</v>
      </c>
      <c r="F120" s="95" t="s">
        <v>46</v>
      </c>
      <c r="G120" s="103">
        <v>9.9854610304946401E-5</v>
      </c>
      <c r="H120" s="104">
        <v>2.0139957798693668E-3</v>
      </c>
      <c r="I120" s="289">
        <v>4.5406001070514325E-3</v>
      </c>
    </row>
    <row r="121" spans="1:9" ht="13.5" thickBot="1">
      <c r="A121" s="105" t="s">
        <v>47</v>
      </c>
      <c r="B121" s="106">
        <v>3.04057630530438E-3</v>
      </c>
      <c r="C121" s="107">
        <v>1.7703067636016073E-2</v>
      </c>
      <c r="D121" s="108">
        <v>1.2483812566738055E-3</v>
      </c>
      <c r="F121" s="105" t="s">
        <v>47</v>
      </c>
      <c r="G121" s="106">
        <v>9.4523154324360954E-4</v>
      </c>
      <c r="H121" s="107">
        <v>8.9057186461263274E-2</v>
      </c>
      <c r="I121" s="108">
        <v>0</v>
      </c>
    </row>
    <row r="122" spans="1:9" ht="13.5" thickBot="1">
      <c r="A122" s="86" t="s">
        <v>83</v>
      </c>
      <c r="B122" s="87"/>
      <c r="C122" s="87"/>
      <c r="D122" s="87"/>
    </row>
    <row r="123" spans="1:9">
      <c r="A123" s="293"/>
      <c r="B123" s="88" t="s">
        <v>21</v>
      </c>
      <c r="C123" s="89"/>
      <c r="D123" s="90"/>
    </row>
    <row r="124" spans="1:9" ht="38.25">
      <c r="A124" s="91" t="s">
        <v>22</v>
      </c>
      <c r="B124" s="92" t="s">
        <v>23</v>
      </c>
      <c r="C124" s="93" t="s">
        <v>24</v>
      </c>
      <c r="D124" s="94" t="s">
        <v>25</v>
      </c>
    </row>
    <row r="125" spans="1:9">
      <c r="A125" s="95" t="s">
        <v>27</v>
      </c>
      <c r="B125" s="96">
        <v>203.75129973937828</v>
      </c>
      <c r="C125" s="97">
        <v>1275.5794363830491</v>
      </c>
      <c r="D125" s="291">
        <v>1964.4751911751298</v>
      </c>
    </row>
    <row r="126" spans="1:9">
      <c r="A126" s="98" t="s">
        <v>28</v>
      </c>
      <c r="B126" s="99">
        <v>202.54153444056365</v>
      </c>
      <c r="C126" s="100">
        <v>1212.2571724279844</v>
      </c>
      <c r="D126" s="292">
        <v>1964.4751911751298</v>
      </c>
    </row>
    <row r="127" spans="1:9">
      <c r="A127" s="98" t="s">
        <v>29</v>
      </c>
      <c r="B127" s="99">
        <v>4.5487351213303322</v>
      </c>
      <c r="C127" s="100">
        <v>238.08151436599439</v>
      </c>
      <c r="D127" s="292">
        <v>0</v>
      </c>
    </row>
    <row r="128" spans="1:9">
      <c r="A128" s="95" t="s">
        <v>30</v>
      </c>
      <c r="B128" s="96">
        <v>189.89206068678547</v>
      </c>
      <c r="C128" s="97">
        <v>961.97631050519976</v>
      </c>
      <c r="D128" s="291">
        <v>1964.4751911751298</v>
      </c>
    </row>
    <row r="129" spans="1:4">
      <c r="A129" s="95" t="s">
        <v>31</v>
      </c>
      <c r="B129" s="96">
        <v>8.1007386324478521</v>
      </c>
      <c r="C129" s="97">
        <v>12.19934755679021</v>
      </c>
      <c r="D129" s="291">
        <v>0</v>
      </c>
    </row>
    <row r="130" spans="1:4">
      <c r="A130" s="98" t="s">
        <v>78</v>
      </c>
      <c r="B130" s="99">
        <v>10.993104777218173</v>
      </c>
      <c r="C130" s="100">
        <v>200.13981868930455</v>
      </c>
      <c r="D130" s="292">
        <v>0</v>
      </c>
    </row>
    <row r="131" spans="1:4">
      <c r="A131" s="98" t="s">
        <v>33</v>
      </c>
      <c r="B131" s="101">
        <v>1.1838597773023705</v>
      </c>
      <c r="C131" s="102">
        <v>0.55189985071252756</v>
      </c>
      <c r="D131" s="290">
        <v>0</v>
      </c>
    </row>
    <row r="132" spans="1:4">
      <c r="A132" s="95" t="s">
        <v>34</v>
      </c>
      <c r="B132" s="103">
        <v>1.9748025669949837E-4</v>
      </c>
      <c r="C132" s="104">
        <v>7.5990711081247225E-4</v>
      </c>
      <c r="D132" s="289">
        <v>0</v>
      </c>
    </row>
    <row r="133" spans="1:4">
      <c r="A133" s="95" t="s">
        <v>35</v>
      </c>
      <c r="B133" s="96">
        <v>40.648448326273886</v>
      </c>
      <c r="C133" s="97">
        <v>214.16376727613985</v>
      </c>
      <c r="D133" s="291">
        <v>0</v>
      </c>
    </row>
    <row r="134" spans="1:4">
      <c r="A134" s="98" t="s">
        <v>36</v>
      </c>
      <c r="B134" s="101">
        <v>1.1885717282069285E-2</v>
      </c>
      <c r="C134" s="102">
        <v>1.1783987179098426E-2</v>
      </c>
      <c r="D134" s="290">
        <v>0</v>
      </c>
    </row>
    <row r="135" spans="1:4">
      <c r="A135" s="98" t="s">
        <v>37</v>
      </c>
      <c r="B135" s="101">
        <v>1.6596811047283756E-2</v>
      </c>
      <c r="C135" s="102">
        <v>3.9892533139537459E-2</v>
      </c>
      <c r="D135" s="290">
        <v>0</v>
      </c>
    </row>
    <row r="136" spans="1:4">
      <c r="A136" s="95" t="s">
        <v>38</v>
      </c>
      <c r="B136" s="103">
        <v>4.3845133510497729E-2</v>
      </c>
      <c r="C136" s="104">
        <v>8.1950579995435174E-2</v>
      </c>
      <c r="D136" s="289">
        <v>0</v>
      </c>
    </row>
    <row r="137" spans="1:4">
      <c r="A137" s="95" t="s">
        <v>39</v>
      </c>
      <c r="B137" s="103">
        <v>1.7440539241527393E-3</v>
      </c>
      <c r="C137" s="104">
        <v>6.7417444182914815E-2</v>
      </c>
      <c r="D137" s="289">
        <v>2.0500000566244125E-2</v>
      </c>
    </row>
    <row r="138" spans="1:4">
      <c r="A138" s="98" t="s">
        <v>40</v>
      </c>
      <c r="B138" s="101">
        <v>1.0688461073020301E-3</v>
      </c>
      <c r="C138" s="102">
        <v>3.5559193707734728E-2</v>
      </c>
      <c r="D138" s="290">
        <v>7.3000001721084118E-3</v>
      </c>
    </row>
    <row r="139" spans="1:4">
      <c r="A139" s="98" t="s">
        <v>41</v>
      </c>
      <c r="B139" s="101">
        <v>2.2585902494992514E-2</v>
      </c>
      <c r="C139" s="102">
        <v>6.7819609728326014E-2</v>
      </c>
      <c r="D139" s="290">
        <v>0</v>
      </c>
    </row>
    <row r="140" spans="1:4">
      <c r="A140" s="95" t="s">
        <v>42</v>
      </c>
      <c r="B140" s="103">
        <v>3.1079786539135561E-4</v>
      </c>
      <c r="C140" s="104">
        <v>3.264208220531519E-3</v>
      </c>
      <c r="D140" s="289">
        <v>0</v>
      </c>
    </row>
    <row r="141" spans="1:4">
      <c r="A141" s="95" t="s">
        <v>43</v>
      </c>
      <c r="B141" s="103">
        <v>5.9831938730997439E-4</v>
      </c>
      <c r="C141" s="104">
        <v>1.9375129090684364E-2</v>
      </c>
      <c r="D141" s="289">
        <v>0</v>
      </c>
    </row>
    <row r="142" spans="1:4">
      <c r="A142" s="98" t="s">
        <v>44</v>
      </c>
      <c r="B142" s="101">
        <v>1.5740819343936958E-3</v>
      </c>
      <c r="C142" s="102">
        <v>3.0427401140861749E-2</v>
      </c>
      <c r="D142" s="290">
        <v>0</v>
      </c>
    </row>
    <row r="143" spans="1:4">
      <c r="A143" s="98" t="s">
        <v>45</v>
      </c>
      <c r="B143" s="101">
        <v>4.7175119262453044E-5</v>
      </c>
      <c r="C143" s="102">
        <v>1.7076287188214571E-2</v>
      </c>
      <c r="D143" s="290">
        <v>1.2751000352203846E-2</v>
      </c>
    </row>
    <row r="144" spans="1:4">
      <c r="A144" s="95" t="s">
        <v>46</v>
      </c>
      <c r="B144" s="103">
        <v>4.0070450969278957E-5</v>
      </c>
      <c r="C144" s="104">
        <v>1.6931420029435488E-2</v>
      </c>
      <c r="D144" s="289">
        <v>4.5406001070514325E-3</v>
      </c>
    </row>
    <row r="145" spans="1:4" ht="13.5" thickBot="1">
      <c r="A145" s="105" t="s">
        <v>47</v>
      </c>
      <c r="B145" s="106">
        <v>4.3655207846114035E-4</v>
      </c>
      <c r="C145" s="107">
        <v>9.8787925345507222E-3</v>
      </c>
      <c r="D145" s="108">
        <v>0</v>
      </c>
    </row>
  </sheetData>
  <pageMargins left="0.75" right="0.75" top="1" bottom="1" header="0.5" footer="0.5"/>
  <pageSetup orientation="portrait" horizontalDpi="4294967295" verticalDpi="4294967295"/>
  <headerFooter>
    <oddHeader>&amp;LGREET 1, Version 2011</oddHeader>
    <oddFooter>&amp;L&amp;F, &amp;A, &amp;D, &amp;T</oddFooter>
  </headerFooter>
</worksheet>
</file>

<file path=xl/worksheets/sheet23.xml><?xml version="1.0" encoding="utf-8"?>
<worksheet xmlns="http://schemas.openxmlformats.org/spreadsheetml/2006/main" xmlns:r="http://schemas.openxmlformats.org/officeDocument/2006/relationships">
  <dimension ref="A1:Q28"/>
  <sheetViews>
    <sheetView showGridLines="0" topLeftCell="B13" workbookViewId="0">
      <selection activeCell="T26" sqref="T26"/>
    </sheetView>
  </sheetViews>
  <sheetFormatPr defaultColWidth="8.85546875" defaultRowHeight="12.75"/>
  <cols>
    <col min="1" max="1" width="30.7109375" style="295" customWidth="1"/>
    <col min="2" max="17" width="13.7109375" style="295" customWidth="1"/>
    <col min="18" max="16384" width="8.85546875" style="295"/>
  </cols>
  <sheetData>
    <row r="1" spans="1:17" ht="16.5" thickBot="1">
      <c r="A1" s="563" t="s">
        <v>2287</v>
      </c>
      <c r="B1" s="564"/>
      <c r="C1" s="565"/>
    </row>
    <row r="2" spans="1:17" s="362" customFormat="1" ht="39" thickBot="1">
      <c r="A2" s="319" t="s">
        <v>2284</v>
      </c>
      <c r="B2" s="318" t="s">
        <v>2286</v>
      </c>
      <c r="C2" s="317" t="s">
        <v>2283</v>
      </c>
      <c r="D2" s="361" t="str">
        <f t="shared" ref="D2:Q2" si="0">D17</f>
        <v xml:space="preserve">SI Vehicle: Dedicated CNGV </v>
      </c>
      <c r="E2" s="361" t="str">
        <f t="shared" si="0"/>
        <v xml:space="preserve">SI Vehicle: Dedicated LNGV </v>
      </c>
      <c r="F2" s="361" t="str">
        <f t="shared" si="0"/>
        <v xml:space="preserve">SI Vehicle: Dedicated MeOH </v>
      </c>
      <c r="G2" s="361" t="str">
        <f t="shared" si="0"/>
        <v xml:space="preserve">SI Vehicle: EtOH Low-Level Blend </v>
      </c>
      <c r="H2" s="361" t="str">
        <f t="shared" si="0"/>
        <v xml:space="preserve">SI Vehicle: EtOH FFV </v>
      </c>
      <c r="I2" s="361" t="str">
        <f t="shared" si="0"/>
        <v xml:space="preserve">CIDI Vehicle: DME </v>
      </c>
      <c r="J2" s="361" t="str">
        <f t="shared" si="0"/>
        <v xml:space="preserve">CIDI Vehicle: FTD </v>
      </c>
      <c r="K2" s="361" t="str">
        <f t="shared" si="0"/>
        <v xml:space="preserve">CIDI Vehicle: BD </v>
      </c>
      <c r="L2" s="361" t="str">
        <f t="shared" si="0"/>
        <v xml:space="preserve">CIDI Vehicle: ED </v>
      </c>
      <c r="M2" s="361" t="str">
        <f t="shared" si="0"/>
        <v xml:space="preserve">GI HEV: CG and RFG </v>
      </c>
      <c r="N2" s="361" t="str">
        <f t="shared" si="0"/>
        <v xml:space="preserve">PHEV: CG and RFG, CD Mode </v>
      </c>
      <c r="O2" s="361" t="str">
        <f t="shared" si="0"/>
        <v xml:space="preserve">PHEV: CG and RFG, CS Mode </v>
      </c>
      <c r="P2" s="361" t="str">
        <f t="shared" si="0"/>
        <v xml:space="preserve">Electric Vehicle </v>
      </c>
      <c r="Q2" s="361" t="str">
        <f t="shared" si="0"/>
        <v xml:space="preserve">Hydrogen Fuel-Cell Vehicle </v>
      </c>
    </row>
    <row r="3" spans="1:17">
      <c r="A3" s="312" t="s">
        <v>2268</v>
      </c>
      <c r="B3" s="311">
        <v>24.81</v>
      </c>
      <c r="C3" s="310">
        <v>29.77</v>
      </c>
      <c r="D3" s="295">
        <f t="shared" ref="D3:Q3" si="1">$B$3*D18</f>
        <v>25.554299999999998</v>
      </c>
      <c r="E3" s="295">
        <f t="shared" si="1"/>
        <v>25.554299999999998</v>
      </c>
      <c r="F3" s="295">
        <f t="shared" si="1"/>
        <v>26.546700000000001</v>
      </c>
      <c r="G3" s="295">
        <f t="shared" si="1"/>
        <v>24.81</v>
      </c>
      <c r="H3" s="295">
        <f t="shared" si="1"/>
        <v>24.81</v>
      </c>
      <c r="I3" s="295">
        <f t="shared" si="1"/>
        <v>29.771999999999998</v>
      </c>
      <c r="J3" s="295">
        <f t="shared" si="1"/>
        <v>29.771999999999998</v>
      </c>
      <c r="K3" s="295">
        <f t="shared" si="1"/>
        <v>29.771999999999998</v>
      </c>
      <c r="L3" s="295">
        <f t="shared" si="1"/>
        <v>29.771999999999998</v>
      </c>
      <c r="M3" s="295">
        <f t="shared" si="1"/>
        <v>34.733999999999995</v>
      </c>
      <c r="N3" s="295">
        <f t="shared" si="1"/>
        <v>49.17342</v>
      </c>
      <c r="O3" s="295">
        <f t="shared" si="1"/>
        <v>36.61956</v>
      </c>
      <c r="P3" s="295">
        <f t="shared" si="1"/>
        <v>84.353999999999999</v>
      </c>
      <c r="Q3" s="295">
        <f t="shared" si="1"/>
        <v>58.725269999999995</v>
      </c>
    </row>
    <row r="4" spans="1:17">
      <c r="A4" s="312" t="s">
        <v>2267</v>
      </c>
      <c r="B4" s="311">
        <v>9.5000000000000001E-2</v>
      </c>
      <c r="C4" s="310">
        <v>0.06</v>
      </c>
    </row>
    <row r="5" spans="1:17">
      <c r="A5" s="315" t="s">
        <v>2266</v>
      </c>
      <c r="B5" s="314">
        <v>5.7000000000000002E-2</v>
      </c>
      <c r="C5" s="313">
        <v>0</v>
      </c>
    </row>
    <row r="6" spans="1:17">
      <c r="A6" s="315" t="s">
        <v>2265</v>
      </c>
      <c r="B6" s="314">
        <v>3.492</v>
      </c>
      <c r="C6" s="313">
        <v>0.53400000000000003</v>
      </c>
    </row>
    <row r="7" spans="1:17">
      <c r="A7" s="312" t="s">
        <v>2264</v>
      </c>
      <c r="B7" s="311">
        <v>6.9000000000000006E-2</v>
      </c>
      <c r="C7" s="310">
        <v>0.08</v>
      </c>
    </row>
    <row r="8" spans="1:17">
      <c r="A8" s="312" t="s">
        <v>2263</v>
      </c>
      <c r="B8" s="311">
        <v>8.0999999999999996E-3</v>
      </c>
      <c r="C8" s="310">
        <v>8.9999999999999993E-3</v>
      </c>
    </row>
    <row r="9" spans="1:17">
      <c r="A9" s="315" t="s">
        <v>2262</v>
      </c>
      <c r="B9" s="314">
        <v>2.0500000000000001E-2</v>
      </c>
      <c r="C9" s="313">
        <v>2.0500000000000001E-2</v>
      </c>
    </row>
    <row r="10" spans="1:17">
      <c r="A10" s="315" t="s">
        <v>2261</v>
      </c>
      <c r="B10" s="314">
        <v>7.4999999999999997E-3</v>
      </c>
      <c r="C10" s="313">
        <v>8.3999999999999995E-3</v>
      </c>
    </row>
    <row r="11" spans="1:17">
      <c r="A11" s="312" t="s">
        <v>2260</v>
      </c>
      <c r="B11" s="311">
        <v>7.3000000000000001E-3</v>
      </c>
      <c r="C11" s="310">
        <v>7.3000000000000001E-3</v>
      </c>
    </row>
    <row r="12" spans="1:17">
      <c r="A12" s="312" t="s">
        <v>2259</v>
      </c>
      <c r="B12" s="311">
        <v>1.06E-2</v>
      </c>
      <c r="C12" s="310">
        <v>2.5999999999999999E-3</v>
      </c>
    </row>
    <row r="13" spans="1:17" ht="13.5" thickBot="1">
      <c r="A13" s="299" t="s">
        <v>2258</v>
      </c>
      <c r="B13" s="298">
        <v>1.2E-2</v>
      </c>
      <c r="C13" s="309">
        <v>1.2E-2</v>
      </c>
    </row>
    <row r="15" spans="1:17" ht="13.5" thickBot="1"/>
    <row r="16" spans="1:17" ht="16.5" thickBot="1">
      <c r="A16" s="563" t="s">
        <v>2285</v>
      </c>
      <c r="B16" s="564"/>
      <c r="C16" s="564"/>
      <c r="D16" s="564"/>
      <c r="E16" s="564"/>
      <c r="F16" s="564"/>
      <c r="G16" s="564"/>
      <c r="H16" s="564"/>
      <c r="I16" s="564"/>
      <c r="J16" s="564"/>
      <c r="K16" s="564"/>
      <c r="L16" s="564"/>
      <c r="M16" s="564"/>
      <c r="N16" s="564"/>
      <c r="O16" s="564"/>
      <c r="P16" s="564"/>
      <c r="Q16" s="565"/>
    </row>
    <row r="17" spans="1:17" ht="34.5" thickBot="1">
      <c r="A17" s="308" t="s">
        <v>2284</v>
      </c>
      <c r="B17" s="307" t="s">
        <v>2283</v>
      </c>
      <c r="C17" s="307" t="s">
        <v>2282</v>
      </c>
      <c r="D17" s="307" t="s">
        <v>2281</v>
      </c>
      <c r="E17" s="307" t="s">
        <v>2280</v>
      </c>
      <c r="F17" s="307" t="s">
        <v>2279</v>
      </c>
      <c r="G17" s="307" t="s">
        <v>2278</v>
      </c>
      <c r="H17" s="307" t="s">
        <v>2277</v>
      </c>
      <c r="I17" s="307" t="s">
        <v>2276</v>
      </c>
      <c r="J17" s="307" t="s">
        <v>2275</v>
      </c>
      <c r="K17" s="307" t="s">
        <v>2274</v>
      </c>
      <c r="L17" s="307" t="s">
        <v>2273</v>
      </c>
      <c r="M17" s="307" t="s">
        <v>2272</v>
      </c>
      <c r="N17" s="307" t="s">
        <v>2271</v>
      </c>
      <c r="O17" s="307" t="s">
        <v>2270</v>
      </c>
      <c r="P17" s="307" t="s">
        <v>1642</v>
      </c>
      <c r="Q17" s="306" t="s">
        <v>2269</v>
      </c>
    </row>
    <row r="18" spans="1:17">
      <c r="A18" s="302" t="s">
        <v>2268</v>
      </c>
      <c r="B18" s="301">
        <v>1.2</v>
      </c>
      <c r="C18" s="301">
        <v>1</v>
      </c>
      <c r="D18" s="301">
        <v>1.03</v>
      </c>
      <c r="E18" s="301">
        <v>1.03</v>
      </c>
      <c r="F18" s="301">
        <v>1.07</v>
      </c>
      <c r="G18" s="301">
        <v>1</v>
      </c>
      <c r="H18" s="301">
        <v>1</v>
      </c>
      <c r="I18" s="301">
        <v>1.2</v>
      </c>
      <c r="J18" s="301">
        <v>1.2</v>
      </c>
      <c r="K18" s="301">
        <v>1.2</v>
      </c>
      <c r="L18" s="301">
        <v>1.2</v>
      </c>
      <c r="M18" s="301">
        <v>1.4</v>
      </c>
      <c r="N18" s="301">
        <v>1.982</v>
      </c>
      <c r="O18" s="301">
        <v>1.476</v>
      </c>
      <c r="P18" s="301">
        <v>3.4</v>
      </c>
      <c r="Q18" s="300">
        <v>2.367</v>
      </c>
    </row>
    <row r="19" spans="1:17">
      <c r="A19" s="302" t="s">
        <v>2267</v>
      </c>
      <c r="B19" s="301" t="s">
        <v>2257</v>
      </c>
      <c r="C19" s="301">
        <v>1</v>
      </c>
      <c r="D19" s="301">
        <v>1</v>
      </c>
      <c r="E19" s="301">
        <v>1</v>
      </c>
      <c r="F19" s="301">
        <v>1</v>
      </c>
      <c r="G19" s="301">
        <v>1</v>
      </c>
      <c r="H19" s="301">
        <v>1</v>
      </c>
      <c r="I19" s="301">
        <v>1</v>
      </c>
      <c r="J19" s="301">
        <v>1</v>
      </c>
      <c r="K19" s="301">
        <v>1</v>
      </c>
      <c r="L19" s="301">
        <v>1</v>
      </c>
      <c r="M19" s="301">
        <v>0.54</v>
      </c>
      <c r="N19" s="301">
        <v>0.54</v>
      </c>
      <c r="O19" s="301">
        <v>0.54</v>
      </c>
      <c r="P19" s="301">
        <v>0</v>
      </c>
      <c r="Q19" s="300">
        <v>0</v>
      </c>
    </row>
    <row r="20" spans="1:17">
      <c r="A20" s="305" t="s">
        <v>2266</v>
      </c>
      <c r="B20" s="304" t="s">
        <v>2257</v>
      </c>
      <c r="C20" s="304">
        <v>1</v>
      </c>
      <c r="D20" s="304">
        <v>0.5</v>
      </c>
      <c r="E20" s="304">
        <v>0.5</v>
      </c>
      <c r="F20" s="304">
        <v>0.85</v>
      </c>
      <c r="G20" s="304">
        <v>1</v>
      </c>
      <c r="H20" s="304">
        <v>0.85</v>
      </c>
      <c r="I20" s="304">
        <v>0</v>
      </c>
      <c r="J20" s="304">
        <v>0</v>
      </c>
      <c r="K20" s="304">
        <v>0</v>
      </c>
      <c r="L20" s="304">
        <v>0</v>
      </c>
      <c r="M20" s="304">
        <v>1</v>
      </c>
      <c r="N20" s="304">
        <v>1</v>
      </c>
      <c r="O20" s="304">
        <v>1</v>
      </c>
      <c r="P20" s="304">
        <v>0</v>
      </c>
      <c r="Q20" s="303">
        <v>0</v>
      </c>
    </row>
    <row r="21" spans="1:17">
      <c r="A21" s="305" t="s">
        <v>2265</v>
      </c>
      <c r="B21" s="304" t="s">
        <v>2257</v>
      </c>
      <c r="C21" s="304">
        <v>1</v>
      </c>
      <c r="D21" s="304">
        <v>1</v>
      </c>
      <c r="E21" s="304">
        <v>1</v>
      </c>
      <c r="F21" s="304">
        <v>1</v>
      </c>
      <c r="G21" s="304">
        <v>1</v>
      </c>
      <c r="H21" s="304">
        <v>1</v>
      </c>
      <c r="I21" s="304">
        <v>1</v>
      </c>
      <c r="J21" s="304">
        <v>1</v>
      </c>
      <c r="K21" s="304">
        <v>1</v>
      </c>
      <c r="L21" s="304">
        <v>1</v>
      </c>
      <c r="M21" s="304">
        <v>1</v>
      </c>
      <c r="N21" s="304">
        <v>1</v>
      </c>
      <c r="O21" s="304">
        <v>1</v>
      </c>
      <c r="P21" s="304">
        <v>0</v>
      </c>
      <c r="Q21" s="303">
        <v>0</v>
      </c>
    </row>
    <row r="22" spans="1:17">
      <c r="A22" s="302" t="s">
        <v>2264</v>
      </c>
      <c r="B22" s="301" t="s">
        <v>2257</v>
      </c>
      <c r="C22" s="301">
        <v>1</v>
      </c>
      <c r="D22" s="301">
        <v>1</v>
      </c>
      <c r="E22" s="301">
        <v>1</v>
      </c>
      <c r="F22" s="301">
        <v>1</v>
      </c>
      <c r="G22" s="301">
        <v>1</v>
      </c>
      <c r="H22" s="301">
        <v>1</v>
      </c>
      <c r="I22" s="301">
        <v>1</v>
      </c>
      <c r="J22" s="301">
        <v>1</v>
      </c>
      <c r="K22" s="301">
        <v>1</v>
      </c>
      <c r="L22" s="301">
        <v>1</v>
      </c>
      <c r="M22" s="301">
        <v>0.84</v>
      </c>
      <c r="N22" s="301">
        <v>0.84</v>
      </c>
      <c r="O22" s="301">
        <v>0.84</v>
      </c>
      <c r="P22" s="301">
        <v>0</v>
      </c>
      <c r="Q22" s="300">
        <v>0</v>
      </c>
    </row>
    <row r="23" spans="1:17">
      <c r="A23" s="302" t="s">
        <v>2263</v>
      </c>
      <c r="B23" s="301" t="s">
        <v>2257</v>
      </c>
      <c r="C23" s="301">
        <v>1</v>
      </c>
      <c r="D23" s="301">
        <v>1</v>
      </c>
      <c r="E23" s="301">
        <v>1</v>
      </c>
      <c r="F23" s="301">
        <v>1</v>
      </c>
      <c r="G23" s="301">
        <v>1</v>
      </c>
      <c r="H23" s="301">
        <v>1</v>
      </c>
      <c r="I23" s="301">
        <v>1</v>
      </c>
      <c r="J23" s="301">
        <v>1</v>
      </c>
      <c r="K23" s="301">
        <v>1</v>
      </c>
      <c r="L23" s="301">
        <v>1</v>
      </c>
      <c r="M23" s="301">
        <v>1</v>
      </c>
      <c r="N23" s="301">
        <v>1</v>
      </c>
      <c r="O23" s="301">
        <v>1</v>
      </c>
      <c r="P23" s="301">
        <v>0</v>
      </c>
      <c r="Q23" s="300">
        <v>0</v>
      </c>
    </row>
    <row r="24" spans="1:17">
      <c r="A24" s="305" t="s">
        <v>2262</v>
      </c>
      <c r="B24" s="304" t="s">
        <v>2257</v>
      </c>
      <c r="C24" s="304">
        <v>1</v>
      </c>
      <c r="D24" s="304">
        <v>1</v>
      </c>
      <c r="E24" s="304">
        <v>1</v>
      </c>
      <c r="F24" s="304">
        <v>1</v>
      </c>
      <c r="G24" s="304">
        <v>1</v>
      </c>
      <c r="H24" s="304">
        <v>1</v>
      </c>
      <c r="I24" s="304">
        <v>1</v>
      </c>
      <c r="J24" s="304">
        <v>1</v>
      </c>
      <c r="K24" s="304">
        <v>1</v>
      </c>
      <c r="L24" s="304">
        <v>1</v>
      </c>
      <c r="M24" s="304">
        <v>1</v>
      </c>
      <c r="N24" s="304">
        <v>1</v>
      </c>
      <c r="O24" s="304">
        <v>1</v>
      </c>
      <c r="P24" s="304">
        <v>1</v>
      </c>
      <c r="Q24" s="303">
        <v>1</v>
      </c>
    </row>
    <row r="25" spans="1:17">
      <c r="A25" s="305" t="s">
        <v>2261</v>
      </c>
      <c r="B25" s="304" t="s">
        <v>2257</v>
      </c>
      <c r="C25" s="304">
        <v>1</v>
      </c>
      <c r="D25" s="304">
        <v>1</v>
      </c>
      <c r="E25" s="304">
        <v>1</v>
      </c>
      <c r="F25" s="304">
        <v>1</v>
      </c>
      <c r="G25" s="304">
        <v>1</v>
      </c>
      <c r="H25" s="304">
        <v>1</v>
      </c>
      <c r="I25" s="304">
        <v>1</v>
      </c>
      <c r="J25" s="304">
        <v>1</v>
      </c>
      <c r="K25" s="304">
        <v>1</v>
      </c>
      <c r="L25" s="304">
        <v>1</v>
      </c>
      <c r="M25" s="304">
        <v>1</v>
      </c>
      <c r="N25" s="304">
        <v>1</v>
      </c>
      <c r="O25" s="304">
        <v>1</v>
      </c>
      <c r="P25" s="304">
        <v>0</v>
      </c>
      <c r="Q25" s="303">
        <v>0</v>
      </c>
    </row>
    <row r="26" spans="1:17">
      <c r="A26" s="302" t="s">
        <v>2260</v>
      </c>
      <c r="B26" s="301" t="s">
        <v>2257</v>
      </c>
      <c r="C26" s="301">
        <v>1</v>
      </c>
      <c r="D26" s="301">
        <v>1</v>
      </c>
      <c r="E26" s="301">
        <v>1</v>
      </c>
      <c r="F26" s="301">
        <v>1</v>
      </c>
      <c r="G26" s="301">
        <v>1</v>
      </c>
      <c r="H26" s="301">
        <v>1</v>
      </c>
      <c r="I26" s="301">
        <v>1</v>
      </c>
      <c r="J26" s="301">
        <v>1</v>
      </c>
      <c r="K26" s="301">
        <v>1</v>
      </c>
      <c r="L26" s="301">
        <v>1</v>
      </c>
      <c r="M26" s="301">
        <v>1</v>
      </c>
      <c r="N26" s="301">
        <v>1</v>
      </c>
      <c r="O26" s="301">
        <v>1</v>
      </c>
      <c r="P26" s="301">
        <v>1</v>
      </c>
      <c r="Q26" s="300">
        <v>1</v>
      </c>
    </row>
    <row r="27" spans="1:17">
      <c r="A27" s="302" t="s">
        <v>2259</v>
      </c>
      <c r="B27" s="301" t="s">
        <v>2257</v>
      </c>
      <c r="C27" s="301">
        <v>1</v>
      </c>
      <c r="D27" s="301">
        <v>10</v>
      </c>
      <c r="E27" s="301">
        <v>10</v>
      </c>
      <c r="F27" s="301">
        <v>1</v>
      </c>
      <c r="G27" s="301">
        <v>1</v>
      </c>
      <c r="H27" s="301">
        <v>1</v>
      </c>
      <c r="I27" s="301">
        <v>2</v>
      </c>
      <c r="J27" s="301">
        <v>1</v>
      </c>
      <c r="K27" s="301">
        <v>1</v>
      </c>
      <c r="L27" s="301">
        <v>1</v>
      </c>
      <c r="M27" s="301">
        <v>0.47</v>
      </c>
      <c r="N27" s="301">
        <v>0.47</v>
      </c>
      <c r="O27" s="301">
        <v>0.47</v>
      </c>
      <c r="P27" s="301">
        <v>0</v>
      </c>
      <c r="Q27" s="300">
        <v>0</v>
      </c>
    </row>
    <row r="28" spans="1:17" ht="13.5" thickBot="1">
      <c r="A28" s="299" t="s">
        <v>2258</v>
      </c>
      <c r="B28" s="298" t="s">
        <v>2257</v>
      </c>
      <c r="C28" s="297">
        <v>1</v>
      </c>
      <c r="D28" s="297">
        <v>1</v>
      </c>
      <c r="E28" s="297">
        <v>1</v>
      </c>
      <c r="F28" s="297">
        <v>1</v>
      </c>
      <c r="G28" s="297">
        <v>1</v>
      </c>
      <c r="H28" s="297">
        <v>1</v>
      </c>
      <c r="I28" s="297">
        <v>1</v>
      </c>
      <c r="J28" s="297">
        <v>1</v>
      </c>
      <c r="K28" s="297">
        <v>1</v>
      </c>
      <c r="L28" s="297">
        <v>1</v>
      </c>
      <c r="M28" s="297">
        <v>1</v>
      </c>
      <c r="N28" s="297">
        <v>1</v>
      </c>
      <c r="O28" s="297">
        <v>1</v>
      </c>
      <c r="P28" s="297">
        <v>0</v>
      </c>
      <c r="Q28" s="296">
        <v>0</v>
      </c>
    </row>
  </sheetData>
  <mergeCells count="2">
    <mergeCell ref="A1:C1"/>
    <mergeCell ref="A16:Q16"/>
  </mergeCells>
  <pageMargins left="0.75" right="0.75" top="1" bottom="1" header="0.5" footer="0.5"/>
</worksheet>
</file>

<file path=xl/worksheets/sheet24.xml><?xml version="1.0" encoding="utf-8"?>
<worksheet xmlns="http://schemas.openxmlformats.org/spreadsheetml/2006/main" xmlns:r="http://schemas.openxmlformats.org/officeDocument/2006/relationships">
  <dimension ref="A1:J190"/>
  <sheetViews>
    <sheetView topLeftCell="A145" workbookViewId="0">
      <selection activeCell="F120" sqref="F120"/>
    </sheetView>
  </sheetViews>
  <sheetFormatPr defaultColWidth="11.42578125" defaultRowHeight="15"/>
  <sheetData>
    <row r="1" spans="1:10" ht="15.75">
      <c r="A1" s="10" t="s">
        <v>64</v>
      </c>
      <c r="B1" s="11"/>
      <c r="C1" s="11"/>
      <c r="D1" s="11"/>
      <c r="E1" s="11"/>
      <c r="F1" s="11"/>
      <c r="G1" s="11"/>
      <c r="H1" s="11"/>
      <c r="I1" s="11"/>
      <c r="J1" s="11"/>
    </row>
    <row r="2" spans="1:10" ht="15.75">
      <c r="A2" s="10"/>
      <c r="B2" s="11"/>
      <c r="C2" s="11"/>
      <c r="D2" s="11"/>
      <c r="E2" s="11"/>
      <c r="F2" s="11"/>
      <c r="G2" s="11"/>
      <c r="H2" s="11"/>
      <c r="I2" s="11"/>
      <c r="J2" s="11"/>
    </row>
    <row r="3" spans="1:10" ht="15.75">
      <c r="A3" s="12" t="s">
        <v>65</v>
      </c>
      <c r="B3" s="11"/>
      <c r="C3" s="11"/>
      <c r="D3" s="11"/>
      <c r="E3" s="11"/>
      <c r="F3" s="11"/>
      <c r="G3" s="11"/>
      <c r="H3" s="11"/>
      <c r="I3" s="11"/>
      <c r="J3" s="11"/>
    </row>
    <row r="4" spans="1:10" ht="16.5" thickBot="1">
      <c r="A4" s="12" t="s">
        <v>66</v>
      </c>
      <c r="B4" s="11"/>
      <c r="C4" s="11"/>
      <c r="D4" s="11"/>
      <c r="E4" s="11"/>
      <c r="F4" s="11"/>
      <c r="G4" s="11"/>
      <c r="H4" s="11"/>
      <c r="I4" s="11"/>
      <c r="J4" s="11"/>
    </row>
    <row r="5" spans="1:10" ht="15.75">
      <c r="A5" s="13"/>
      <c r="B5" s="558" t="s">
        <v>67</v>
      </c>
      <c r="C5" s="559"/>
      <c r="D5" s="559"/>
      <c r="E5" s="559"/>
      <c r="F5" s="560"/>
      <c r="G5" s="558" t="s">
        <v>68</v>
      </c>
      <c r="H5" s="559"/>
      <c r="I5" s="559"/>
      <c r="J5" s="560"/>
    </row>
    <row r="6" spans="1:10">
      <c r="A6" s="14"/>
      <c r="B6" s="15" t="s">
        <v>69</v>
      </c>
      <c r="C6" s="16" t="s">
        <v>70</v>
      </c>
      <c r="D6" s="16" t="s">
        <v>71</v>
      </c>
      <c r="E6" s="16" t="s">
        <v>72</v>
      </c>
      <c r="F6" s="17" t="s">
        <v>26</v>
      </c>
      <c r="G6" s="15" t="s">
        <v>69</v>
      </c>
      <c r="H6" s="16" t="s">
        <v>70</v>
      </c>
      <c r="I6" s="16" t="s">
        <v>71</v>
      </c>
      <c r="J6" s="17" t="s">
        <v>72</v>
      </c>
    </row>
    <row r="7" spans="1:10">
      <c r="A7" s="18" t="s">
        <v>60</v>
      </c>
      <c r="B7" s="19">
        <v>68.804951800734472</v>
      </c>
      <c r="C7" s="20">
        <v>15.548815398391199</v>
      </c>
      <c r="D7" s="20">
        <v>4.3303415320377248</v>
      </c>
      <c r="E7" s="20">
        <v>11.651073456188193</v>
      </c>
      <c r="F7" s="21">
        <v>100.33518218735159</v>
      </c>
      <c r="G7" s="22">
        <v>0.68575100279638634</v>
      </c>
      <c r="H7" s="23">
        <v>0.1549687264169966</v>
      </c>
      <c r="I7" s="23">
        <v>4.3158754861797766E-2</v>
      </c>
      <c r="J7" s="24">
        <v>0.1161215159248193</v>
      </c>
    </row>
    <row r="8" spans="1:10">
      <c r="A8" s="18" t="s">
        <v>61</v>
      </c>
      <c r="B8" s="19">
        <v>64.257203777704206</v>
      </c>
      <c r="C8" s="20">
        <v>14.039404142658029</v>
      </c>
      <c r="D8" s="20">
        <v>3.7980020576373787</v>
      </c>
      <c r="E8" s="20">
        <v>11.580791174842252</v>
      </c>
      <c r="F8" s="21">
        <v>93.675401152841857</v>
      </c>
      <c r="G8" s="22">
        <v>0.68595600325064443</v>
      </c>
      <c r="H8" s="23">
        <v>0.14987290120862334</v>
      </c>
      <c r="I8" s="23">
        <v>4.0544283887725394E-2</v>
      </c>
      <c r="J8" s="24">
        <v>0.12362681165300697</v>
      </c>
    </row>
    <row r="9" spans="1:10">
      <c r="A9" s="18" t="s">
        <v>29</v>
      </c>
      <c r="B9" s="19">
        <v>24.896391760897359</v>
      </c>
      <c r="C9" s="20">
        <v>7.4600919087197237</v>
      </c>
      <c r="D9" s="20">
        <v>2.7820587787611659</v>
      </c>
      <c r="E9" s="20">
        <v>0.47350496978221052</v>
      </c>
      <c r="F9" s="21">
        <v>35.612047418160465</v>
      </c>
      <c r="G9" s="22">
        <v>0.69910026426061012</v>
      </c>
      <c r="H9" s="23">
        <v>0.2094822524839004</v>
      </c>
      <c r="I9" s="23">
        <v>7.8121281433048056E-2</v>
      </c>
      <c r="J9" s="24">
        <v>1.3296201822441282E-2</v>
      </c>
    </row>
    <row r="10" spans="1:10">
      <c r="A10" s="18" t="s">
        <v>62</v>
      </c>
      <c r="B10" s="19">
        <v>29.324202953467513</v>
      </c>
      <c r="C10" s="20">
        <v>6.289257314723959</v>
      </c>
      <c r="D10" s="20">
        <v>0.87492033543183545</v>
      </c>
      <c r="E10" s="20">
        <v>2.1144237476522836</v>
      </c>
      <c r="F10" s="21">
        <v>38.60280435127558</v>
      </c>
      <c r="G10" s="22">
        <v>0.75963918803993657</v>
      </c>
      <c r="H10" s="23">
        <v>0.16292229076140005</v>
      </c>
      <c r="I10" s="23">
        <v>2.2664683308245837E-2</v>
      </c>
      <c r="J10" s="24">
        <v>5.4773837890417801E-2</v>
      </c>
    </row>
    <row r="11" spans="1:10">
      <c r="A11" s="18" t="s">
        <v>31</v>
      </c>
      <c r="B11" s="19">
        <v>10.036609063339332</v>
      </c>
      <c r="C11" s="20">
        <v>0.29005491921434579</v>
      </c>
      <c r="D11" s="20">
        <v>0.14102294344437738</v>
      </c>
      <c r="E11" s="20">
        <v>8.9928624574077585</v>
      </c>
      <c r="F11" s="21">
        <v>19.460549383405812</v>
      </c>
      <c r="G11" s="22">
        <v>0.51574130131689089</v>
      </c>
      <c r="H11" s="23">
        <v>1.4904765199572333E-2</v>
      </c>
      <c r="I11" s="23">
        <v>7.2466064891584681E-3</v>
      </c>
      <c r="J11" s="24">
        <v>0.4621073269943784</v>
      </c>
    </row>
    <row r="12" spans="1:10">
      <c r="A12" s="25" t="s">
        <v>32</v>
      </c>
      <c r="B12" s="26">
        <v>5113253.4841212193</v>
      </c>
      <c r="C12" s="27">
        <v>1245149.6249317541</v>
      </c>
      <c r="D12" s="27">
        <v>347354.64485906507</v>
      </c>
      <c r="E12" s="27">
        <v>716523.23893777304</v>
      </c>
      <c r="F12" s="28">
        <v>7422280.992849811</v>
      </c>
      <c r="G12" s="29">
        <v>0.68890594266735883</v>
      </c>
      <c r="H12" s="30">
        <v>0.16775835166187564</v>
      </c>
      <c r="I12" s="30">
        <v>4.679890793594127E-2</v>
      </c>
      <c r="J12" s="31">
        <v>9.6536797734824292E-2</v>
      </c>
    </row>
    <row r="13" spans="1:10">
      <c r="A13" s="32" t="s">
        <v>63</v>
      </c>
      <c r="B13" s="33">
        <v>5157137.2839602465</v>
      </c>
      <c r="C13" s="34">
        <v>1246093.0799481333</v>
      </c>
      <c r="D13" s="34">
        <v>347466.33495399548</v>
      </c>
      <c r="E13" s="34">
        <v>716796.71867019532</v>
      </c>
      <c r="F13" s="35">
        <v>7467493.4175325707</v>
      </c>
      <c r="G13" s="36">
        <v>0.69061156074835639</v>
      </c>
      <c r="H13" s="37">
        <v>0.16686898940178388</v>
      </c>
      <c r="I13" s="37">
        <v>4.6530517742164441E-2</v>
      </c>
      <c r="J13" s="38">
        <v>9.5988932107695282E-2</v>
      </c>
    </row>
    <row r="14" spans="1:10">
      <c r="A14" s="18" t="s">
        <v>33</v>
      </c>
      <c r="B14" s="19">
        <v>9318.4801507279626</v>
      </c>
      <c r="C14" s="20">
        <v>2032.4485342002472</v>
      </c>
      <c r="D14" s="20">
        <v>526.14984694973259</v>
      </c>
      <c r="E14" s="20">
        <v>1161.2751585442693</v>
      </c>
      <c r="F14" s="21">
        <v>13038.353690422213</v>
      </c>
      <c r="G14" s="22">
        <v>0.71469760461960652</v>
      </c>
      <c r="H14" s="23">
        <v>0.15588229790799851</v>
      </c>
      <c r="I14" s="23">
        <v>4.0354009366706682E-2</v>
      </c>
      <c r="J14" s="24">
        <v>8.9066088105688168E-2</v>
      </c>
    </row>
    <row r="15" spans="1:10">
      <c r="A15" s="18" t="s">
        <v>34</v>
      </c>
      <c r="B15" s="19">
        <v>56.841640972719425</v>
      </c>
      <c r="C15" s="20">
        <v>17.035110192024042</v>
      </c>
      <c r="D15" s="20">
        <v>4.5418804093591039</v>
      </c>
      <c r="E15" s="20">
        <v>5.4419154325785044</v>
      </c>
      <c r="F15" s="21">
        <v>83.860547006681088</v>
      </c>
      <c r="G15" s="22">
        <v>0.67781147394842189</v>
      </c>
      <c r="H15" s="23">
        <v>0.20313616831842118</v>
      </c>
      <c r="I15" s="23">
        <v>5.4159918715975662E-2</v>
      </c>
      <c r="J15" s="24">
        <v>6.4892439017181128E-2</v>
      </c>
    </row>
    <row r="16" spans="1:10">
      <c r="A16" s="39" t="s">
        <v>35</v>
      </c>
      <c r="B16" s="40">
        <v>5407038.0967383161</v>
      </c>
      <c r="C16" s="41">
        <v>1301980.7561403627</v>
      </c>
      <c r="D16" s="41">
        <v>361973.56148972781</v>
      </c>
      <c r="E16" s="41">
        <v>747450.28843271045</v>
      </c>
      <c r="F16" s="33">
        <v>7818442.7028011167</v>
      </c>
      <c r="G16" s="42">
        <v>0.69157481895993611</v>
      </c>
      <c r="H16" s="43">
        <v>0.1665268654682219</v>
      </c>
      <c r="I16" s="43">
        <v>4.6297399015285151E-2</v>
      </c>
      <c r="J16" s="44">
        <v>9.5600916556556864E-2</v>
      </c>
    </row>
    <row r="17" spans="1:10">
      <c r="A17" s="4" t="s">
        <v>36</v>
      </c>
      <c r="B17" s="45">
        <v>1490.382010687048</v>
      </c>
      <c r="C17" s="46">
        <v>2250.5960394741396</v>
      </c>
      <c r="D17" s="46">
        <v>35.213883636178011</v>
      </c>
      <c r="E17" s="46">
        <v>29233.450162131187</v>
      </c>
      <c r="F17" s="47">
        <v>33009.642095928553</v>
      </c>
      <c r="G17" s="29">
        <v>4.5149899122077224E-2</v>
      </c>
      <c r="H17" s="30">
        <v>6.817995884153287E-2</v>
      </c>
      <c r="I17" s="30">
        <v>1.0667756873535242E-3</v>
      </c>
      <c r="J17" s="31">
        <v>0.88560336634903636</v>
      </c>
    </row>
    <row r="18" spans="1:10">
      <c r="A18" s="5" t="s">
        <v>37</v>
      </c>
      <c r="B18" s="19">
        <v>38720.999857965006</v>
      </c>
      <c r="C18" s="20">
        <v>832.46030856983202</v>
      </c>
      <c r="D18" s="20">
        <v>98.550083762119385</v>
      </c>
      <c r="E18" s="20">
        <v>241.30564625496564</v>
      </c>
      <c r="F18" s="21">
        <v>39893.315896551925</v>
      </c>
      <c r="G18" s="22">
        <v>0.9706137228194599</v>
      </c>
      <c r="H18" s="23">
        <v>2.0867162577523007E-2</v>
      </c>
      <c r="I18" s="23">
        <v>2.4703407462460976E-3</v>
      </c>
      <c r="J18" s="24">
        <v>6.0487738567708846E-3</v>
      </c>
    </row>
    <row r="19" spans="1:10">
      <c r="A19" s="5" t="s">
        <v>38</v>
      </c>
      <c r="B19" s="19">
        <v>5930.194361591628</v>
      </c>
      <c r="C19" s="20">
        <v>4268.2613925400274</v>
      </c>
      <c r="D19" s="20">
        <v>391.01066959698136</v>
      </c>
      <c r="E19" s="20">
        <v>1238.4831215027425</v>
      </c>
      <c r="F19" s="21">
        <v>11827.949545231379</v>
      </c>
      <c r="G19" s="22">
        <v>0.5013712933855452</v>
      </c>
      <c r="H19" s="23">
        <v>0.36086232666259921</v>
      </c>
      <c r="I19" s="23">
        <v>3.3058195598629637E-2</v>
      </c>
      <c r="J19" s="24">
        <v>0.10470818435322597</v>
      </c>
    </row>
    <row r="20" spans="1:10">
      <c r="A20" s="5" t="s">
        <v>39</v>
      </c>
      <c r="B20" s="19">
        <v>9572.3129927247555</v>
      </c>
      <c r="C20" s="20">
        <v>2486.2697100293062</v>
      </c>
      <c r="D20" s="20">
        <v>545.3178474240209</v>
      </c>
      <c r="E20" s="20">
        <v>467.03272101013977</v>
      </c>
      <c r="F20" s="21">
        <v>13070.933271188223</v>
      </c>
      <c r="G20" s="22">
        <v>0.73233584734340684</v>
      </c>
      <c r="H20" s="23">
        <v>0.19021363344495829</v>
      </c>
      <c r="I20" s="23">
        <v>4.1719886109895833E-2</v>
      </c>
      <c r="J20" s="24">
        <v>3.5730633101739018E-2</v>
      </c>
    </row>
    <row r="21" spans="1:10">
      <c r="A21" s="5" t="s">
        <v>40</v>
      </c>
      <c r="B21" s="19">
        <v>3835.8259591092237</v>
      </c>
      <c r="C21" s="20">
        <v>935.79034837382881</v>
      </c>
      <c r="D21" s="20">
        <v>155.89851896962927</v>
      </c>
      <c r="E21" s="20">
        <v>273.84536086124314</v>
      </c>
      <c r="F21" s="21">
        <v>5201.360187313926</v>
      </c>
      <c r="G21" s="22">
        <v>0.73746593601896115</v>
      </c>
      <c r="H21" s="23">
        <v>0.17991262182846204</v>
      </c>
      <c r="I21" s="23">
        <v>2.9972644338276063E-2</v>
      </c>
      <c r="J21" s="24">
        <v>5.2648797814300513E-2</v>
      </c>
    </row>
    <row r="22" spans="1:10">
      <c r="A22" s="48" t="s">
        <v>41</v>
      </c>
      <c r="B22" s="49">
        <v>12993.502124344855</v>
      </c>
      <c r="C22" s="50">
        <v>5950.9316544297535</v>
      </c>
      <c r="D22" s="50">
        <v>1176.5716388229789</v>
      </c>
      <c r="E22" s="50">
        <v>1469.6175956339223</v>
      </c>
      <c r="F22" s="51">
        <v>21590.623013231507</v>
      </c>
      <c r="G22" s="52">
        <v>0.60181228287770905</v>
      </c>
      <c r="H22" s="53">
        <v>0.2756257496961903</v>
      </c>
      <c r="I22" s="53">
        <v>5.4494566372722715E-2</v>
      </c>
      <c r="J22" s="54">
        <v>6.8067401053378038E-2</v>
      </c>
    </row>
    <row r="23" spans="1:10">
      <c r="A23" s="5" t="s">
        <v>42</v>
      </c>
      <c r="B23" s="19">
        <v>226.675339217323</v>
      </c>
      <c r="C23" s="20">
        <v>5.8814860266991289</v>
      </c>
      <c r="D23" s="20">
        <v>2.9109292391655628</v>
      </c>
      <c r="E23" s="20">
        <v>17933.158313934026</v>
      </c>
      <c r="F23" s="21">
        <v>18168.626068417212</v>
      </c>
      <c r="G23" s="22">
        <v>1.2476195963510749E-2</v>
      </c>
      <c r="H23" s="23">
        <v>3.2371660931054119E-4</v>
      </c>
      <c r="I23" s="23">
        <v>1.6021735645854222E-4</v>
      </c>
      <c r="J23" s="24">
        <v>0.98703987007072025</v>
      </c>
    </row>
    <row r="24" spans="1:10">
      <c r="A24" s="5" t="s">
        <v>43</v>
      </c>
      <c r="B24" s="19">
        <v>143.08381317315167</v>
      </c>
      <c r="C24" s="20">
        <v>48.292338666021358</v>
      </c>
      <c r="D24" s="20">
        <v>17.021866344991068</v>
      </c>
      <c r="E24" s="20">
        <v>88.985529870297896</v>
      </c>
      <c r="F24" s="21">
        <v>297.38354805446198</v>
      </c>
      <c r="G24" s="22">
        <v>0.48114232986065425</v>
      </c>
      <c r="H24" s="23">
        <v>0.16239075423626742</v>
      </c>
      <c r="I24" s="23">
        <v>5.7238762723598048E-2</v>
      </c>
      <c r="J24" s="24">
        <v>0.29922815317948032</v>
      </c>
    </row>
    <row r="25" spans="1:10">
      <c r="A25" s="5" t="s">
        <v>44</v>
      </c>
      <c r="B25" s="19">
        <v>476.75227485844317</v>
      </c>
      <c r="C25" s="20">
        <v>165.25782912484081</v>
      </c>
      <c r="D25" s="20">
        <v>58.350611624340686</v>
      </c>
      <c r="E25" s="20">
        <v>437.17818168662615</v>
      </c>
      <c r="F25" s="21">
        <v>1137.5388972942508</v>
      </c>
      <c r="G25" s="22">
        <v>0.41910854740215547</v>
      </c>
      <c r="H25" s="23">
        <v>0.14527664022559841</v>
      </c>
      <c r="I25" s="23">
        <v>5.1295486917531712E-2</v>
      </c>
      <c r="J25" s="24">
        <v>0.38431932545471442</v>
      </c>
    </row>
    <row r="26" spans="1:10">
      <c r="A26" s="5" t="s">
        <v>45</v>
      </c>
      <c r="B26" s="19">
        <v>58.951446025818775</v>
      </c>
      <c r="C26" s="20">
        <v>10.591981124334028</v>
      </c>
      <c r="D26" s="20">
        <v>3.8950710194983342</v>
      </c>
      <c r="E26" s="20">
        <v>167.77727618153284</v>
      </c>
      <c r="F26" s="21">
        <v>241.215774351184</v>
      </c>
      <c r="G26" s="22">
        <v>0.24439299703506068</v>
      </c>
      <c r="H26" s="23">
        <v>4.3910814509640038E-2</v>
      </c>
      <c r="I26" s="23">
        <v>1.614766293777924E-2</v>
      </c>
      <c r="J26" s="24">
        <v>0.69554852551752</v>
      </c>
    </row>
    <row r="27" spans="1:10">
      <c r="A27" s="5" t="s">
        <v>46</v>
      </c>
      <c r="B27" s="19">
        <v>28.506232161829729</v>
      </c>
      <c r="C27" s="20">
        <v>6.2869834135972855</v>
      </c>
      <c r="D27" s="20">
        <v>2.2780574701188745</v>
      </c>
      <c r="E27" s="20">
        <v>108.78635299262646</v>
      </c>
      <c r="F27" s="21">
        <v>145.85762603817236</v>
      </c>
      <c r="G27" s="22">
        <v>0.19543875034939462</v>
      </c>
      <c r="H27" s="23">
        <v>4.3103563278562622E-2</v>
      </c>
      <c r="I27" s="23">
        <v>1.5618363825026774E-2</v>
      </c>
      <c r="J27" s="24">
        <v>0.7458393225470159</v>
      </c>
    </row>
    <row r="28" spans="1:10" ht="15.75" thickBot="1">
      <c r="A28" s="55" t="s">
        <v>47</v>
      </c>
      <c r="B28" s="56">
        <v>791.99503741828505</v>
      </c>
      <c r="C28" s="57">
        <v>354.108404212658</v>
      </c>
      <c r="D28" s="57">
        <v>125.23142734982221</v>
      </c>
      <c r="E28" s="57">
        <v>621.2072889121124</v>
      </c>
      <c r="F28" s="58">
        <v>1892.5421578928776</v>
      </c>
      <c r="G28" s="59">
        <v>0.41848211101414939</v>
      </c>
      <c r="H28" s="60">
        <v>0.18710727406300737</v>
      </c>
      <c r="I28" s="60">
        <v>6.6171010683985301E-2</v>
      </c>
      <c r="J28" s="61">
        <v>0.32823960423885795</v>
      </c>
    </row>
    <row r="29" spans="1:10">
      <c r="A29" s="11"/>
      <c r="B29" s="11"/>
      <c r="C29" s="11"/>
      <c r="D29" s="11"/>
      <c r="E29" s="11"/>
      <c r="F29" s="11"/>
      <c r="G29" s="11"/>
      <c r="H29" s="11"/>
      <c r="I29" s="11"/>
      <c r="J29" s="11"/>
    </row>
    <row r="30" spans="1:10" ht="16.5" thickBot="1">
      <c r="A30" s="12" t="s">
        <v>73</v>
      </c>
      <c r="B30" s="11"/>
      <c r="C30" s="11"/>
      <c r="D30" s="11"/>
      <c r="E30" s="11"/>
      <c r="F30" s="11"/>
      <c r="G30" s="11"/>
      <c r="H30" s="11"/>
      <c r="I30" s="11"/>
      <c r="J30" s="11"/>
    </row>
    <row r="31" spans="1:10" ht="15.75">
      <c r="A31" s="13"/>
      <c r="B31" s="558" t="s">
        <v>67</v>
      </c>
      <c r="C31" s="559"/>
      <c r="D31" s="559"/>
      <c r="E31" s="559"/>
      <c r="F31" s="560"/>
      <c r="G31" s="558" t="s">
        <v>68</v>
      </c>
      <c r="H31" s="559"/>
      <c r="I31" s="559"/>
      <c r="J31" s="560"/>
    </row>
    <row r="32" spans="1:10">
      <c r="A32" s="14"/>
      <c r="B32" s="15" t="s">
        <v>69</v>
      </c>
      <c r="C32" s="16" t="s">
        <v>70</v>
      </c>
      <c r="D32" s="16" t="s">
        <v>71</v>
      </c>
      <c r="E32" s="16" t="s">
        <v>72</v>
      </c>
      <c r="F32" s="17" t="s">
        <v>26</v>
      </c>
      <c r="G32" s="15" t="s">
        <v>69</v>
      </c>
      <c r="H32" s="16" t="s">
        <v>70</v>
      </c>
      <c r="I32" s="16" t="s">
        <v>71</v>
      </c>
      <c r="J32" s="17" t="s">
        <v>72</v>
      </c>
    </row>
    <row r="33" spans="1:10">
      <c r="A33" s="18" t="s">
        <v>60</v>
      </c>
      <c r="B33" s="19">
        <v>68.365794294624664</v>
      </c>
      <c r="C33" s="20">
        <v>15.548815398391199</v>
      </c>
      <c r="D33" s="20">
        <v>2.8147219958245215</v>
      </c>
      <c r="E33" s="20">
        <v>11.651073456188193</v>
      </c>
      <c r="F33" s="21">
        <v>98.38040514502859</v>
      </c>
      <c r="G33" s="22">
        <v>0.69491271350064532</v>
      </c>
      <c r="H33" s="23">
        <v>0.15804788947016163</v>
      </c>
      <c r="I33" s="23">
        <v>2.8610595694083259E-2</v>
      </c>
      <c r="J33" s="24">
        <v>0.11842880133510968</v>
      </c>
    </row>
    <row r="34" spans="1:10">
      <c r="A34" s="18" t="s">
        <v>61</v>
      </c>
      <c r="B34" s="19">
        <v>62.746422938966958</v>
      </c>
      <c r="C34" s="20">
        <v>14.039404142658029</v>
      </c>
      <c r="D34" s="20">
        <v>2.4687013374642968</v>
      </c>
      <c r="E34" s="20">
        <v>11.580791174842252</v>
      </c>
      <c r="F34" s="21">
        <v>90.83531959393153</v>
      </c>
      <c r="G34" s="22">
        <v>0.69077120242948853</v>
      </c>
      <c r="H34" s="23">
        <v>0.15455886768956736</v>
      </c>
      <c r="I34" s="23">
        <v>2.7177769049531966E-2</v>
      </c>
      <c r="J34" s="24">
        <v>0.12749216083141227</v>
      </c>
    </row>
    <row r="35" spans="1:10">
      <c r="A35" s="18" t="s">
        <v>29</v>
      </c>
      <c r="B35" s="19">
        <v>16.471331608316742</v>
      </c>
      <c r="C35" s="20">
        <v>7.4600919087197237</v>
      </c>
      <c r="D35" s="20">
        <v>1.8083382061947579</v>
      </c>
      <c r="E35" s="20">
        <v>0.47350496978221052</v>
      </c>
      <c r="F35" s="21">
        <v>26.213266693013434</v>
      </c>
      <c r="G35" s="22">
        <v>0.6283586018184758</v>
      </c>
      <c r="H35" s="23">
        <v>0.28459222561177566</v>
      </c>
      <c r="I35" s="23">
        <v>6.8985610506787032E-2</v>
      </c>
      <c r="J35" s="24">
        <v>1.806356206296153E-2</v>
      </c>
    </row>
    <row r="36" spans="1:10">
      <c r="A36" s="18" t="s">
        <v>62</v>
      </c>
      <c r="B36" s="19">
        <v>26.938508289279422</v>
      </c>
      <c r="C36" s="20">
        <v>6.289257314723959</v>
      </c>
      <c r="D36" s="20">
        <v>0.56869821803069354</v>
      </c>
      <c r="E36" s="20">
        <v>2.1144237476522836</v>
      </c>
      <c r="F36" s="21">
        <v>35.910887569686352</v>
      </c>
      <c r="G36" s="22">
        <v>0.75014877415670356</v>
      </c>
      <c r="H36" s="23">
        <v>0.17513511194952874</v>
      </c>
      <c r="I36" s="23">
        <v>1.5836373214867343E-2</v>
      </c>
      <c r="J36" s="24">
        <v>5.8879740678900491E-2</v>
      </c>
    </row>
    <row r="37" spans="1:10">
      <c r="A37" s="18" t="s">
        <v>31</v>
      </c>
      <c r="B37" s="19">
        <v>19.33658304137079</v>
      </c>
      <c r="C37" s="20">
        <v>0.29005491921434579</v>
      </c>
      <c r="D37" s="20">
        <v>9.1664913238845291E-2</v>
      </c>
      <c r="E37" s="20">
        <v>8.9928624574077585</v>
      </c>
      <c r="F37" s="21">
        <v>28.71116533123174</v>
      </c>
      <c r="G37" s="22">
        <v>0.67348652756830574</v>
      </c>
      <c r="H37" s="23">
        <v>1.0102512937669818E-2</v>
      </c>
      <c r="I37" s="23">
        <v>3.1926573575588395E-3</v>
      </c>
      <c r="J37" s="24">
        <v>0.31321830213646557</v>
      </c>
    </row>
    <row r="38" spans="1:10">
      <c r="A38" s="25" t="s">
        <v>32</v>
      </c>
      <c r="B38" s="26">
        <v>5043447.5951296715</v>
      </c>
      <c r="C38" s="27">
        <v>1245149.6249317541</v>
      </c>
      <c r="D38" s="27">
        <v>225780.51915839233</v>
      </c>
      <c r="E38" s="27">
        <v>716523.23893777304</v>
      </c>
      <c r="F38" s="28">
        <v>7230900.9781575901</v>
      </c>
      <c r="G38" s="29">
        <v>0.69748536321606847</v>
      </c>
      <c r="H38" s="30">
        <v>0.17219840635253922</v>
      </c>
      <c r="I38" s="30">
        <v>3.1224396495043757E-2</v>
      </c>
      <c r="J38" s="31">
        <v>9.9091833936348669E-2</v>
      </c>
    </row>
    <row r="39" spans="1:10">
      <c r="A39" s="32" t="s">
        <v>63</v>
      </c>
      <c r="B39" s="62">
        <v>5058993.1436573006</v>
      </c>
      <c r="C39" s="63">
        <v>1246093.0799481333</v>
      </c>
      <c r="D39" s="63">
        <v>225853.1177200971</v>
      </c>
      <c r="E39" s="63">
        <v>716796.71867019532</v>
      </c>
      <c r="F39" s="64">
        <v>7247736.0599957258</v>
      </c>
      <c r="G39" s="36">
        <v>0.69801012368271642</v>
      </c>
      <c r="H39" s="37">
        <v>0.17192859530661056</v>
      </c>
      <c r="I39" s="37">
        <v>3.1161885014922893E-2</v>
      </c>
      <c r="J39" s="38">
        <v>9.8899395995750164E-2</v>
      </c>
    </row>
    <row r="40" spans="1:10">
      <c r="A40" s="18" t="s">
        <v>33</v>
      </c>
      <c r="B40" s="19">
        <v>8640.4272339239342</v>
      </c>
      <c r="C40" s="20">
        <v>2032.4485342002472</v>
      </c>
      <c r="D40" s="20">
        <v>341.9974005173263</v>
      </c>
      <c r="E40" s="20">
        <v>1161.2751585442693</v>
      </c>
      <c r="F40" s="21">
        <v>12176.148327185776</v>
      </c>
      <c r="G40" s="22">
        <v>0.70961908493118375</v>
      </c>
      <c r="H40" s="23">
        <v>0.16692048089315603</v>
      </c>
      <c r="I40" s="23">
        <v>2.8087486397791836E-2</v>
      </c>
      <c r="J40" s="24">
        <v>9.537294777786845E-2</v>
      </c>
    </row>
    <row r="41" spans="1:10">
      <c r="A41" s="18" t="s">
        <v>34</v>
      </c>
      <c r="B41" s="19">
        <v>55.662079019110109</v>
      </c>
      <c r="C41" s="20">
        <v>17.035110192024042</v>
      </c>
      <c r="D41" s="20">
        <v>2.9522222660834174</v>
      </c>
      <c r="E41" s="20">
        <v>5.4419154325785044</v>
      </c>
      <c r="F41" s="21">
        <v>81.091326909796067</v>
      </c>
      <c r="G41" s="22">
        <v>0.68641223593525846</v>
      </c>
      <c r="H41" s="23">
        <v>0.2100731464287601</v>
      </c>
      <c r="I41" s="23">
        <v>3.6406140811672677E-2</v>
      </c>
      <c r="J41" s="24">
        <v>6.7108476824308885E-2</v>
      </c>
    </row>
    <row r="42" spans="1:10">
      <c r="A42" s="39" t="s">
        <v>35</v>
      </c>
      <c r="B42" s="40">
        <v>5291591.1240530936</v>
      </c>
      <c r="C42" s="41">
        <v>1301980.7561403627</v>
      </c>
      <c r="D42" s="41">
        <v>235282.8149683231</v>
      </c>
      <c r="E42" s="41">
        <v>747450.28843271045</v>
      </c>
      <c r="F42" s="65">
        <v>7576304.9835944902</v>
      </c>
      <c r="G42" s="42">
        <v>0.69843956064484614</v>
      </c>
      <c r="H42" s="43">
        <v>0.17184904237086995</v>
      </c>
      <c r="I42" s="43">
        <v>3.1055087602439135E-2</v>
      </c>
      <c r="J42" s="44">
        <v>9.8656309381844776E-2</v>
      </c>
    </row>
    <row r="43" spans="1:10">
      <c r="A43" s="4" t="s">
        <v>36</v>
      </c>
      <c r="B43" s="45">
        <v>1306.9375042010229</v>
      </c>
      <c r="C43" s="46">
        <v>2250.5960394741396</v>
      </c>
      <c r="D43" s="46">
        <v>22.889024363515709</v>
      </c>
      <c r="E43" s="46">
        <v>29233.450162131187</v>
      </c>
      <c r="F43" s="47">
        <v>32813.872730169867</v>
      </c>
      <c r="G43" s="29">
        <v>3.9828810056893801E-2</v>
      </c>
      <c r="H43" s="30">
        <v>6.8586724218165418E-2</v>
      </c>
      <c r="I43" s="30">
        <v>6.9754108427655924E-4</v>
      </c>
      <c r="J43" s="31">
        <v>0.8908869246406641</v>
      </c>
    </row>
    <row r="44" spans="1:10">
      <c r="A44" s="5" t="s">
        <v>37</v>
      </c>
      <c r="B44" s="19">
        <v>13716.660465555449</v>
      </c>
      <c r="C44" s="20">
        <v>832.46030856983202</v>
      </c>
      <c r="D44" s="20">
        <v>64.057554445377605</v>
      </c>
      <c r="E44" s="20">
        <v>241.30564625496564</v>
      </c>
      <c r="F44" s="21">
        <v>14854.483974825624</v>
      </c>
      <c r="G44" s="22">
        <v>0.92340201711493441</v>
      </c>
      <c r="H44" s="23">
        <v>5.6041011588193135E-2</v>
      </c>
      <c r="I44" s="23">
        <v>4.3123379145272242E-3</v>
      </c>
      <c r="J44" s="24">
        <v>1.6244633382345299E-2</v>
      </c>
    </row>
    <row r="45" spans="1:10">
      <c r="A45" s="5" t="s">
        <v>38</v>
      </c>
      <c r="B45" s="19">
        <v>6853.4364035061462</v>
      </c>
      <c r="C45" s="20">
        <v>4268.2613925400274</v>
      </c>
      <c r="D45" s="20">
        <v>254.15693523803793</v>
      </c>
      <c r="E45" s="20">
        <v>1238.4831215027425</v>
      </c>
      <c r="F45" s="21">
        <v>12614.337852786954</v>
      </c>
      <c r="G45" s="22">
        <v>0.54330528351846696</v>
      </c>
      <c r="H45" s="23">
        <v>0.33836586924751005</v>
      </c>
      <c r="I45" s="23">
        <v>2.0148258133254746E-2</v>
      </c>
      <c r="J45" s="24">
        <v>9.8180589100768198E-2</v>
      </c>
    </row>
    <row r="46" spans="1:10">
      <c r="A46" s="5" t="s">
        <v>39</v>
      </c>
      <c r="B46" s="19">
        <v>7255.0147797338514</v>
      </c>
      <c r="C46" s="20">
        <v>2486.2697100293062</v>
      </c>
      <c r="D46" s="20">
        <v>354.45660082561363</v>
      </c>
      <c r="E46" s="20">
        <v>467.03272101013977</v>
      </c>
      <c r="F46" s="21">
        <v>10562.773811598912</v>
      </c>
      <c r="G46" s="22">
        <v>0.68684749944821955</v>
      </c>
      <c r="H46" s="23">
        <v>0.23538037965928513</v>
      </c>
      <c r="I46" s="23">
        <v>3.3557151478183431E-2</v>
      </c>
      <c r="J46" s="24">
        <v>4.4214969414311821E-2</v>
      </c>
    </row>
    <row r="47" spans="1:10">
      <c r="A47" s="5" t="s">
        <v>40</v>
      </c>
      <c r="B47" s="19">
        <v>3095.1779360342698</v>
      </c>
      <c r="C47" s="20">
        <v>935.79034837382881</v>
      </c>
      <c r="D47" s="20">
        <v>101.33403733025904</v>
      </c>
      <c r="E47" s="20">
        <v>273.84536086124314</v>
      </c>
      <c r="F47" s="21">
        <v>4406.1476825996015</v>
      </c>
      <c r="G47" s="22">
        <v>0.70246804215335168</v>
      </c>
      <c r="H47" s="23">
        <v>0.21238288314061182</v>
      </c>
      <c r="I47" s="23">
        <v>2.2998329749690221E-2</v>
      </c>
      <c r="J47" s="24">
        <v>6.215074495634608E-2</v>
      </c>
    </row>
    <row r="48" spans="1:10">
      <c r="A48" s="48" t="s">
        <v>41</v>
      </c>
      <c r="B48" s="49">
        <v>15102.330342156822</v>
      </c>
      <c r="C48" s="50">
        <v>5950.9316544297535</v>
      </c>
      <c r="D48" s="50">
        <v>764.77156523493647</v>
      </c>
      <c r="E48" s="50">
        <v>1469.6175956339223</v>
      </c>
      <c r="F48" s="51">
        <v>23287.651157455432</v>
      </c>
      <c r="G48" s="52">
        <v>0.64851239139769934</v>
      </c>
      <c r="H48" s="53">
        <v>0.25554022662884962</v>
      </c>
      <c r="I48" s="53">
        <v>3.2840219052753139E-2</v>
      </c>
      <c r="J48" s="54">
        <v>6.310716292069804E-2</v>
      </c>
    </row>
    <row r="49" spans="1:10">
      <c r="A49" s="5" t="s">
        <v>42</v>
      </c>
      <c r="B49" s="19">
        <v>454.45523750260992</v>
      </c>
      <c r="C49" s="20">
        <v>5.8814860266991289</v>
      </c>
      <c r="D49" s="20">
        <v>1.8921040054576159</v>
      </c>
      <c r="E49" s="20">
        <v>17933.158313934026</v>
      </c>
      <c r="F49" s="21">
        <v>18395.387141468793</v>
      </c>
      <c r="G49" s="22">
        <v>2.4704847688588716E-2</v>
      </c>
      <c r="H49" s="23">
        <v>3.1972613468082291E-4</v>
      </c>
      <c r="I49" s="23">
        <v>1.0285752568872218E-4</v>
      </c>
      <c r="J49" s="24">
        <v>0.97487256865104166</v>
      </c>
    </row>
    <row r="50" spans="1:10">
      <c r="A50" s="5" t="s">
        <v>43</v>
      </c>
      <c r="B50" s="19">
        <v>182.73200843384265</v>
      </c>
      <c r="C50" s="20">
        <v>48.292338666021358</v>
      </c>
      <c r="D50" s="20">
        <v>11.064213124244196</v>
      </c>
      <c r="E50" s="20">
        <v>88.985529870297896</v>
      </c>
      <c r="F50" s="21">
        <v>331.07409009440607</v>
      </c>
      <c r="G50" s="22">
        <v>0.55193690446067967</v>
      </c>
      <c r="H50" s="23">
        <v>0.1458656539756728</v>
      </c>
      <c r="I50" s="23">
        <v>3.3419145306989216E-2</v>
      </c>
      <c r="J50" s="24">
        <v>0.26877829625665844</v>
      </c>
    </row>
    <row r="51" spans="1:10">
      <c r="A51" s="5" t="s">
        <v>44</v>
      </c>
      <c r="B51" s="19">
        <v>592.06228874263627</v>
      </c>
      <c r="C51" s="20">
        <v>165.25782912484081</v>
      </c>
      <c r="D51" s="20">
        <v>37.927897555821453</v>
      </c>
      <c r="E51" s="20">
        <v>437.17818168662615</v>
      </c>
      <c r="F51" s="21">
        <v>1232.4261971099247</v>
      </c>
      <c r="G51" s="22">
        <v>0.48040384903456251</v>
      </c>
      <c r="H51" s="23">
        <v>0.13409146082124448</v>
      </c>
      <c r="I51" s="23">
        <v>3.0774984858942041E-2</v>
      </c>
      <c r="J51" s="24">
        <v>0.35472970528525094</v>
      </c>
    </row>
    <row r="52" spans="1:10">
      <c r="A52" s="5" t="s">
        <v>45</v>
      </c>
      <c r="B52" s="19">
        <v>97.259759848911472</v>
      </c>
      <c r="C52" s="20">
        <v>10.591981124334028</v>
      </c>
      <c r="D52" s="20">
        <v>2.5317961626739174</v>
      </c>
      <c r="E52" s="20">
        <v>167.77727618153284</v>
      </c>
      <c r="F52" s="21">
        <v>278.16081331745227</v>
      </c>
      <c r="G52" s="22">
        <v>0.34965298917900894</v>
      </c>
      <c r="H52" s="23">
        <v>3.8078624368436405E-2</v>
      </c>
      <c r="I52" s="23">
        <v>9.1019153002852848E-3</v>
      </c>
      <c r="J52" s="24">
        <v>0.60316647115226929</v>
      </c>
    </row>
    <row r="53" spans="1:10">
      <c r="A53" s="5" t="s">
        <v>46</v>
      </c>
      <c r="B53" s="19">
        <v>44.148181429796587</v>
      </c>
      <c r="C53" s="20">
        <v>6.2869834135972855</v>
      </c>
      <c r="D53" s="20">
        <v>1.4807373555772685</v>
      </c>
      <c r="E53" s="20">
        <v>108.78635299262646</v>
      </c>
      <c r="F53" s="21">
        <v>160.7022551915976</v>
      </c>
      <c r="G53" s="22">
        <v>0.27472036019134161</v>
      </c>
      <c r="H53" s="23">
        <v>3.9121936441412201E-2</v>
      </c>
      <c r="I53" s="23">
        <v>9.2141666201999237E-3</v>
      </c>
      <c r="J53" s="24">
        <v>0.67694353674704633</v>
      </c>
    </row>
    <row r="54" spans="1:10" ht="15.75" thickBot="1">
      <c r="A54" s="55" t="s">
        <v>47</v>
      </c>
      <c r="B54" s="56">
        <v>844.47757784762439</v>
      </c>
      <c r="C54" s="57">
        <v>354.108404212658</v>
      </c>
      <c r="D54" s="57">
        <v>81.400427777384436</v>
      </c>
      <c r="E54" s="57">
        <v>621.2072889121124</v>
      </c>
      <c r="F54" s="58">
        <v>1901.1936987497793</v>
      </c>
      <c r="G54" s="59">
        <v>0.44418281966900636</v>
      </c>
      <c r="H54" s="60">
        <v>0.18625582677110644</v>
      </c>
      <c r="I54" s="60">
        <v>4.2815431079386165E-2</v>
      </c>
      <c r="J54" s="61">
        <v>0.32674592248050105</v>
      </c>
    </row>
    <row r="55" spans="1:10">
      <c r="A55" s="11"/>
      <c r="B55" s="11"/>
      <c r="C55" s="11"/>
      <c r="D55" s="11"/>
      <c r="E55" s="11"/>
      <c r="F55" s="11"/>
      <c r="G55" s="11"/>
      <c r="H55" s="11"/>
      <c r="I55" s="11"/>
      <c r="J55" s="11"/>
    </row>
    <row r="56" spans="1:10" ht="16.5" thickBot="1">
      <c r="A56" s="12" t="s">
        <v>74</v>
      </c>
      <c r="B56" s="11"/>
      <c r="C56" s="11"/>
      <c r="D56" s="11"/>
      <c r="E56" s="11"/>
      <c r="F56" s="11"/>
      <c r="G56" s="11"/>
      <c r="H56" s="11"/>
      <c r="I56" s="11"/>
      <c r="J56" s="11"/>
    </row>
    <row r="57" spans="1:10" ht="15.75">
      <c r="A57" s="13"/>
      <c r="B57" s="558" t="s">
        <v>67</v>
      </c>
      <c r="C57" s="559"/>
      <c r="D57" s="559"/>
      <c r="E57" s="559"/>
      <c r="F57" s="560"/>
      <c r="G57" s="558" t="s">
        <v>68</v>
      </c>
      <c r="H57" s="559"/>
      <c r="I57" s="559"/>
      <c r="J57" s="560"/>
    </row>
    <row r="58" spans="1:10">
      <c r="A58" s="14"/>
      <c r="B58" s="15" t="s">
        <v>69</v>
      </c>
      <c r="C58" s="16" t="s">
        <v>70</v>
      </c>
      <c r="D58" s="16" t="s">
        <v>71</v>
      </c>
      <c r="E58" s="16" t="s">
        <v>72</v>
      </c>
      <c r="F58" s="17" t="s">
        <v>26</v>
      </c>
      <c r="G58" s="15" t="s">
        <v>69</v>
      </c>
      <c r="H58" s="16" t="s">
        <v>70</v>
      </c>
      <c r="I58" s="16" t="s">
        <v>71</v>
      </c>
      <c r="J58" s="17" t="s">
        <v>72</v>
      </c>
    </row>
    <row r="59" spans="1:10">
      <c r="A59" s="18" t="s">
        <v>60</v>
      </c>
      <c r="B59" s="19">
        <v>59.276148054267182</v>
      </c>
      <c r="C59" s="20">
        <v>15.548815398391199</v>
      </c>
      <c r="D59" s="20">
        <v>16.54195095253538</v>
      </c>
      <c r="E59" s="20">
        <v>10.641018044307819</v>
      </c>
      <c r="F59" s="21">
        <v>102.00793244950158</v>
      </c>
      <c r="G59" s="22">
        <v>0.58109351528726927</v>
      </c>
      <c r="H59" s="23">
        <v>0.15242751249848679</v>
      </c>
      <c r="I59" s="23">
        <v>0.16216337842867637</v>
      </c>
      <c r="J59" s="24">
        <v>0.10431559378556753</v>
      </c>
    </row>
    <row r="60" spans="1:10">
      <c r="A60" s="18" t="s">
        <v>61</v>
      </c>
      <c r="B60" s="19">
        <v>55.414594976008438</v>
      </c>
      <c r="C60" s="20">
        <v>14.039404142658029</v>
      </c>
      <c r="D60" s="20">
        <v>14.612226448309967</v>
      </c>
      <c r="E60" s="20">
        <v>10.57389801346387</v>
      </c>
      <c r="F60" s="21">
        <v>94.640123580440317</v>
      </c>
      <c r="G60" s="22">
        <v>0.58552961344041621</v>
      </c>
      <c r="H60" s="23">
        <v>0.14834515860204997</v>
      </c>
      <c r="I60" s="23">
        <v>0.15439779551735433</v>
      </c>
      <c r="J60" s="24">
        <v>0.11172743244017935</v>
      </c>
    </row>
    <row r="61" spans="1:10">
      <c r="A61" s="18" t="s">
        <v>29</v>
      </c>
      <c r="B61" s="19">
        <v>20.032619019028168</v>
      </c>
      <c r="C61" s="20">
        <v>7.4600919087197237</v>
      </c>
      <c r="D61" s="20">
        <v>9.5295573075898865</v>
      </c>
      <c r="E61" s="20">
        <v>0.44340757961775817</v>
      </c>
      <c r="F61" s="21">
        <v>37.465675814955532</v>
      </c>
      <c r="G61" s="22">
        <v>0.53469258416610643</v>
      </c>
      <c r="H61" s="23">
        <v>0.19911803928388788</v>
      </c>
      <c r="I61" s="23">
        <v>0.25435434168215065</v>
      </c>
      <c r="J61" s="24">
        <v>1.1835034867855204E-2</v>
      </c>
    </row>
    <row r="62" spans="1:10">
      <c r="A62" s="18" t="s">
        <v>62</v>
      </c>
      <c r="B62" s="19">
        <v>26.336270663081166</v>
      </c>
      <c r="C62" s="20">
        <v>6.289257314723959</v>
      </c>
      <c r="D62" s="20">
        <v>3.9309761006630346</v>
      </c>
      <c r="E62" s="20">
        <v>2.0451705081953442</v>
      </c>
      <c r="F62" s="21">
        <v>38.601674586663528</v>
      </c>
      <c r="G62" s="22">
        <v>0.68225720632804021</v>
      </c>
      <c r="H62" s="23">
        <v>0.16292705904776553</v>
      </c>
      <c r="I62" s="23">
        <v>0.10183434119775585</v>
      </c>
      <c r="J62" s="24">
        <v>5.2981393426437748E-2</v>
      </c>
    </row>
    <row r="63" spans="1:10">
      <c r="A63" s="18" t="s">
        <v>31</v>
      </c>
      <c r="B63" s="19">
        <v>9.0457052938991023</v>
      </c>
      <c r="C63" s="20">
        <v>0.29005491921434579</v>
      </c>
      <c r="D63" s="20">
        <v>1.1516930400570458</v>
      </c>
      <c r="E63" s="20">
        <v>8.0853199256507668</v>
      </c>
      <c r="F63" s="21">
        <v>18.572773178821258</v>
      </c>
      <c r="G63" s="22">
        <v>0.48704117617793458</v>
      </c>
      <c r="H63" s="23">
        <v>1.5617211087523465E-2</v>
      </c>
      <c r="I63" s="23">
        <v>6.2009750992400761E-2</v>
      </c>
      <c r="J63" s="24">
        <v>0.43533186174214134</v>
      </c>
    </row>
    <row r="64" spans="1:10">
      <c r="A64" s="25" t="s">
        <v>32</v>
      </c>
      <c r="B64" s="26">
        <v>4544426.7758322973</v>
      </c>
      <c r="C64" s="27">
        <v>1245149.6249317541</v>
      </c>
      <c r="D64" s="27">
        <v>1334190.0448500244</v>
      </c>
      <c r="E64" s="27">
        <v>653660.23607756395</v>
      </c>
      <c r="F64" s="28">
        <v>7777426.6816916401</v>
      </c>
      <c r="G64" s="29">
        <v>0.58430981889293176</v>
      </c>
      <c r="H64" s="30">
        <v>0.16009789302969374</v>
      </c>
      <c r="I64" s="30">
        <v>0.17154646381826508</v>
      </c>
      <c r="J64" s="31">
        <v>8.4045824259109392E-2</v>
      </c>
    </row>
    <row r="65" spans="1:10">
      <c r="A65" s="32" t="s">
        <v>63</v>
      </c>
      <c r="B65" s="62">
        <v>4582860.3147300044</v>
      </c>
      <c r="C65" s="63">
        <v>1246093.0799481333</v>
      </c>
      <c r="D65" s="63">
        <v>1335400.1465851618</v>
      </c>
      <c r="E65" s="63">
        <v>653910.95981142169</v>
      </c>
      <c r="F65" s="64">
        <v>7818264.501074722</v>
      </c>
      <c r="G65" s="36">
        <v>0.58617360849073741</v>
      </c>
      <c r="H65" s="37">
        <v>0.15938231301548339</v>
      </c>
      <c r="I65" s="37">
        <v>0.17080518910579115</v>
      </c>
      <c r="J65" s="38">
        <v>8.3638889387987983E-2</v>
      </c>
    </row>
    <row r="66" spans="1:10">
      <c r="A66" s="18" t="s">
        <v>33</v>
      </c>
      <c r="B66" s="19">
        <v>8088.6305011268814</v>
      </c>
      <c r="C66" s="20">
        <v>2032.4485342002472</v>
      </c>
      <c r="D66" s="20">
        <v>1926.1908821876314</v>
      </c>
      <c r="E66" s="20">
        <v>1072.0705492941518</v>
      </c>
      <c r="F66" s="21">
        <v>13119.340466808913</v>
      </c>
      <c r="G66" s="22">
        <v>0.61654246427940462</v>
      </c>
      <c r="H66" s="23">
        <v>0.15492002355927961</v>
      </c>
      <c r="I66" s="23">
        <v>0.14682071000907174</v>
      </c>
      <c r="J66" s="24">
        <v>8.1716802152243945E-2</v>
      </c>
    </row>
    <row r="67" spans="1:10">
      <c r="A67" s="18" t="s">
        <v>34</v>
      </c>
      <c r="B67" s="19">
        <v>50.395965016873681</v>
      </c>
      <c r="C67" s="20">
        <v>17.035110192024042</v>
      </c>
      <c r="D67" s="20">
        <v>17.129808832565637</v>
      </c>
      <c r="E67" s="20">
        <v>5.0106055384842403</v>
      </c>
      <c r="F67" s="21">
        <v>89.57148957994761</v>
      </c>
      <c r="G67" s="22">
        <v>0.56263399495988553</v>
      </c>
      <c r="H67" s="23">
        <v>0.19018451375444911</v>
      </c>
      <c r="I67" s="23">
        <v>0.19124175463528845</v>
      </c>
      <c r="J67" s="24">
        <v>5.5939736650376812E-2</v>
      </c>
    </row>
    <row r="68" spans="1:10">
      <c r="A68" s="39" t="s">
        <v>35</v>
      </c>
      <c r="B68" s="40">
        <v>4800094.074833205</v>
      </c>
      <c r="C68" s="41">
        <v>1301980.7561403627</v>
      </c>
      <c r="D68" s="41">
        <v>1388659.6016719572</v>
      </c>
      <c r="E68" s="41">
        <v>682205.88399424381</v>
      </c>
      <c r="F68" s="65">
        <v>8172940.3166397689</v>
      </c>
      <c r="G68" s="42">
        <v>0.58731544448702411</v>
      </c>
      <c r="H68" s="43">
        <v>0.15930383750503888</v>
      </c>
      <c r="I68" s="43">
        <v>0.16990942645753862</v>
      </c>
      <c r="J68" s="44">
        <v>8.3471291550398424E-2</v>
      </c>
    </row>
    <row r="69" spans="1:10">
      <c r="A69" s="4" t="s">
        <v>36</v>
      </c>
      <c r="B69" s="45">
        <v>1299.8558597355104</v>
      </c>
      <c r="C69" s="46">
        <v>2250.5960394741396</v>
      </c>
      <c r="D69" s="46">
        <v>131.74112686780018</v>
      </c>
      <c r="E69" s="46">
        <v>29210.867646995252</v>
      </c>
      <c r="F69" s="47">
        <v>32893.060673072701</v>
      </c>
      <c r="G69" s="29">
        <v>3.9517631778170567E-2</v>
      </c>
      <c r="H69" s="30">
        <v>6.8421606059801812E-2</v>
      </c>
      <c r="I69" s="30">
        <v>4.0051343405585731E-3</v>
      </c>
      <c r="J69" s="31">
        <v>0.88805562782146907</v>
      </c>
    </row>
    <row r="70" spans="1:10">
      <c r="A70" s="5" t="s">
        <v>37</v>
      </c>
      <c r="B70" s="19">
        <v>33911.946086212309</v>
      </c>
      <c r="C70" s="20">
        <v>832.46030856983202</v>
      </c>
      <c r="D70" s="20">
        <v>1067.7368251212208</v>
      </c>
      <c r="E70" s="20">
        <v>221.22682399207824</v>
      </c>
      <c r="F70" s="21">
        <v>36033.37004389544</v>
      </c>
      <c r="G70" s="22">
        <v>0.94112612960989117</v>
      </c>
      <c r="H70" s="23">
        <v>2.3102482714099135E-2</v>
      </c>
      <c r="I70" s="23">
        <v>2.9631889102254828E-2</v>
      </c>
      <c r="J70" s="24">
        <v>6.1394985737548901E-3</v>
      </c>
    </row>
    <row r="71" spans="1:10">
      <c r="A71" s="5" t="s">
        <v>38</v>
      </c>
      <c r="B71" s="19">
        <v>5229.5281668412727</v>
      </c>
      <c r="C71" s="20">
        <v>4268.2613925400274</v>
      </c>
      <c r="D71" s="20">
        <v>1477.3726135927136</v>
      </c>
      <c r="E71" s="20">
        <v>1129.7326334416839</v>
      </c>
      <c r="F71" s="21">
        <v>12104.894806415698</v>
      </c>
      <c r="G71" s="22">
        <v>0.43201764661924846</v>
      </c>
      <c r="H71" s="23">
        <v>0.35260623580783307</v>
      </c>
      <c r="I71" s="23">
        <v>0.122047538389982</v>
      </c>
      <c r="J71" s="24">
        <v>9.332857918293648E-2</v>
      </c>
    </row>
    <row r="72" spans="1:10">
      <c r="A72" s="5" t="s">
        <v>39</v>
      </c>
      <c r="B72" s="19">
        <v>7990.5083651222276</v>
      </c>
      <c r="C72" s="20">
        <v>2486.2697100293062</v>
      </c>
      <c r="D72" s="20">
        <v>1858.9599664365583</v>
      </c>
      <c r="E72" s="20">
        <v>424.63042339642141</v>
      </c>
      <c r="F72" s="21">
        <v>12760.368464984515</v>
      </c>
      <c r="G72" s="22">
        <v>0.62619730668819085</v>
      </c>
      <c r="H72" s="23">
        <v>0.19484309695694382</v>
      </c>
      <c r="I72" s="23">
        <v>0.14568231094091796</v>
      </c>
      <c r="J72" s="24">
        <v>3.3277285413947234E-2</v>
      </c>
    </row>
    <row r="73" spans="1:10">
      <c r="A73" s="5" t="s">
        <v>40</v>
      </c>
      <c r="B73" s="19">
        <v>3240.8959590443196</v>
      </c>
      <c r="C73" s="20">
        <v>935.79034837382881</v>
      </c>
      <c r="D73" s="20">
        <v>535.2711977416941</v>
      </c>
      <c r="E73" s="20">
        <v>248.32847789270502</v>
      </c>
      <c r="F73" s="21">
        <v>4960.2859830525476</v>
      </c>
      <c r="G73" s="22">
        <v>0.65336877150173511</v>
      </c>
      <c r="H73" s="23">
        <v>0.18865653141191382</v>
      </c>
      <c r="I73" s="23">
        <v>0.10791135825041473</v>
      </c>
      <c r="J73" s="24">
        <v>5.0063338835936291E-2</v>
      </c>
    </row>
    <row r="74" spans="1:10">
      <c r="A74" s="48" t="s">
        <v>41</v>
      </c>
      <c r="B74" s="49">
        <v>16832.644856350958</v>
      </c>
      <c r="C74" s="50">
        <v>5950.9316544297535</v>
      </c>
      <c r="D74" s="50">
        <v>11912.834044105732</v>
      </c>
      <c r="E74" s="50">
        <v>1335.4246095393803</v>
      </c>
      <c r="F74" s="51">
        <v>36031.835164425829</v>
      </c>
      <c r="G74" s="52">
        <v>0.4671603536022445</v>
      </c>
      <c r="H74" s="53">
        <v>0.16515760652416334</v>
      </c>
      <c r="I74" s="53">
        <v>0.33061968644514816</v>
      </c>
      <c r="J74" s="54">
        <v>3.7062353428443821E-2</v>
      </c>
    </row>
    <row r="75" spans="1:10">
      <c r="A75" s="5" t="s">
        <v>42</v>
      </c>
      <c r="B75" s="19">
        <v>205.24668757876751</v>
      </c>
      <c r="C75" s="20">
        <v>5.8814860266991289</v>
      </c>
      <c r="D75" s="20">
        <v>25.790783202193147</v>
      </c>
      <c r="E75" s="20">
        <v>17919.866223614277</v>
      </c>
      <c r="F75" s="21">
        <v>18156.785180421935</v>
      </c>
      <c r="G75" s="22">
        <v>1.1304131515532856E-2</v>
      </c>
      <c r="H75" s="23">
        <v>3.2392772003719063E-4</v>
      </c>
      <c r="I75" s="23">
        <v>1.4204487714049063E-3</v>
      </c>
      <c r="J75" s="24">
        <v>0.98695149199302512</v>
      </c>
    </row>
    <row r="76" spans="1:10">
      <c r="A76" s="5" t="s">
        <v>43</v>
      </c>
      <c r="B76" s="19">
        <v>128.92558816883783</v>
      </c>
      <c r="C76" s="20">
        <v>48.292338666021358</v>
      </c>
      <c r="D76" s="20">
        <v>65.182444246825966</v>
      </c>
      <c r="E76" s="20">
        <v>79.883239628190097</v>
      </c>
      <c r="F76" s="21">
        <v>322.28361070987523</v>
      </c>
      <c r="G76" s="22">
        <v>0.40003768073983342</v>
      </c>
      <c r="H76" s="23">
        <v>0.14984422744814932</v>
      </c>
      <c r="I76" s="23">
        <v>0.20225181200884654</v>
      </c>
      <c r="J76" s="24">
        <v>0.24786627980317077</v>
      </c>
    </row>
    <row r="77" spans="1:10">
      <c r="A77" s="5" t="s">
        <v>44</v>
      </c>
      <c r="B77" s="19">
        <v>426.54530047822385</v>
      </c>
      <c r="C77" s="20">
        <v>165.25782912484081</v>
      </c>
      <c r="D77" s="20">
        <v>221.04045458226415</v>
      </c>
      <c r="E77" s="20">
        <v>391.27948702515852</v>
      </c>
      <c r="F77" s="21">
        <v>1204.1230712104873</v>
      </c>
      <c r="G77" s="22">
        <v>0.35423729573541357</v>
      </c>
      <c r="H77" s="23">
        <v>0.137243304339904</v>
      </c>
      <c r="I77" s="23">
        <v>0.18356965319172516</v>
      </c>
      <c r="J77" s="24">
        <v>0.32494974673295729</v>
      </c>
    </row>
    <row r="78" spans="1:10">
      <c r="A78" s="5" t="s">
        <v>45</v>
      </c>
      <c r="B78" s="19">
        <v>53.059266795405897</v>
      </c>
      <c r="C78" s="20">
        <v>10.591981124334028</v>
      </c>
      <c r="D78" s="20">
        <v>16.754628793350751</v>
      </c>
      <c r="E78" s="20">
        <v>149.73361276423091</v>
      </c>
      <c r="F78" s="21">
        <v>230.1394894773216</v>
      </c>
      <c r="G78" s="22">
        <v>0.23055263968782924</v>
      </c>
      <c r="H78" s="23">
        <v>4.6024179285310281E-2</v>
      </c>
      <c r="I78" s="23">
        <v>7.2802059444047676E-2</v>
      </c>
      <c r="J78" s="24">
        <v>0.65062112158281271</v>
      </c>
    </row>
    <row r="79" spans="1:10">
      <c r="A79" s="5" t="s">
        <v>46</v>
      </c>
      <c r="B79" s="19">
        <v>25.647511113459593</v>
      </c>
      <c r="C79" s="20">
        <v>6.2869834135972855</v>
      </c>
      <c r="D79" s="20">
        <v>9.3714961484062549</v>
      </c>
      <c r="E79" s="20">
        <v>97.015170197325787</v>
      </c>
      <c r="F79" s="21">
        <v>138.32116087278894</v>
      </c>
      <c r="G79" s="22">
        <v>0.18542001058715138</v>
      </c>
      <c r="H79" s="23">
        <v>4.5452072364974526E-2</v>
      </c>
      <c r="I79" s="23">
        <v>6.7751717013313839E-2</v>
      </c>
      <c r="J79" s="24">
        <v>0.70137620003456014</v>
      </c>
    </row>
    <row r="80" spans="1:10" ht="15.75" thickBot="1">
      <c r="A80" s="55" t="s">
        <v>47</v>
      </c>
      <c r="B80" s="56">
        <v>707.14845628406658</v>
      </c>
      <c r="C80" s="57">
        <v>354.108404212658</v>
      </c>
      <c r="D80" s="57">
        <v>459.4143498123853</v>
      </c>
      <c r="E80" s="57">
        <v>555.12077134610047</v>
      </c>
      <c r="F80" s="58">
        <v>2075.7919816552103</v>
      </c>
      <c r="G80" s="59">
        <v>0.34066441268368103</v>
      </c>
      <c r="H80" s="60">
        <v>0.17058954237326635</v>
      </c>
      <c r="I80" s="60">
        <v>0.22132003296691324</v>
      </c>
      <c r="J80" s="61">
        <v>0.26742601197613941</v>
      </c>
    </row>
    <row r="81" spans="1:10">
      <c r="A81" s="11"/>
      <c r="B81" s="11"/>
      <c r="C81" s="11"/>
      <c r="D81" s="11"/>
      <c r="E81" s="11"/>
      <c r="F81" s="11"/>
      <c r="G81" s="11"/>
      <c r="H81" s="11"/>
      <c r="I81" s="11"/>
      <c r="J81" s="11"/>
    </row>
    <row r="82" spans="1:10" ht="16.5" thickBot="1">
      <c r="A82" s="12" t="s">
        <v>75</v>
      </c>
      <c r="B82" s="11"/>
      <c r="C82" s="11"/>
      <c r="D82" s="11"/>
      <c r="E82" s="11"/>
      <c r="F82" s="11"/>
      <c r="G82" s="11"/>
      <c r="H82" s="11"/>
      <c r="I82" s="11"/>
      <c r="J82" s="11"/>
    </row>
    <row r="83" spans="1:10" ht="15.75">
      <c r="A83" s="13"/>
      <c r="B83" s="558" t="s">
        <v>67</v>
      </c>
      <c r="C83" s="559"/>
      <c r="D83" s="559"/>
      <c r="E83" s="559"/>
      <c r="F83" s="560"/>
      <c r="G83" s="558" t="s">
        <v>68</v>
      </c>
      <c r="H83" s="559"/>
      <c r="I83" s="559"/>
      <c r="J83" s="560"/>
    </row>
    <row r="84" spans="1:10">
      <c r="A84" s="14"/>
      <c r="B84" s="15" t="s">
        <v>69</v>
      </c>
      <c r="C84" s="16" t="s">
        <v>70</v>
      </c>
      <c r="D84" s="16" t="s">
        <v>71</v>
      </c>
      <c r="E84" s="16" t="s">
        <v>72</v>
      </c>
      <c r="F84" s="17" t="s">
        <v>26</v>
      </c>
      <c r="G84" s="15" t="s">
        <v>69</v>
      </c>
      <c r="H84" s="16" t="s">
        <v>70</v>
      </c>
      <c r="I84" s="16" t="s">
        <v>71</v>
      </c>
      <c r="J84" s="17" t="s">
        <v>72</v>
      </c>
    </row>
    <row r="85" spans="1:10">
      <c r="A85" s="18" t="s">
        <v>60</v>
      </c>
      <c r="B85" s="19">
        <v>69.74731141116456</v>
      </c>
      <c r="C85" s="20">
        <v>15.548815398391199</v>
      </c>
      <c r="D85" s="20">
        <v>10.178814976501162</v>
      </c>
      <c r="E85" s="20">
        <v>10.641018044307819</v>
      </c>
      <c r="F85" s="21">
        <v>106.11595983036473</v>
      </c>
      <c r="G85" s="22">
        <v>0.65727447146179985</v>
      </c>
      <c r="H85" s="23">
        <v>0.14652664333666005</v>
      </c>
      <c r="I85" s="23">
        <v>9.5921621900917187E-2</v>
      </c>
      <c r="J85" s="24">
        <v>0.100277263300623</v>
      </c>
    </row>
    <row r="86" spans="1:10">
      <c r="A86" s="18" t="s">
        <v>61</v>
      </c>
      <c r="B86" s="19">
        <v>64.2452035629981</v>
      </c>
      <c r="C86" s="20">
        <v>14.039404142658029</v>
      </c>
      <c r="D86" s="20">
        <v>8.9907019120148792</v>
      </c>
      <c r="E86" s="20">
        <v>10.57389801346387</v>
      </c>
      <c r="F86" s="21">
        <v>97.849207631134888</v>
      </c>
      <c r="G86" s="22">
        <v>0.65657356986665838</v>
      </c>
      <c r="H86" s="23">
        <v>0.14347999828044386</v>
      </c>
      <c r="I86" s="23">
        <v>9.1883236764751325E-2</v>
      </c>
      <c r="J86" s="24">
        <v>0.10806319508814637</v>
      </c>
    </row>
    <row r="87" spans="1:10">
      <c r="A87" s="18" t="s">
        <v>29</v>
      </c>
      <c r="B87" s="19">
        <v>16.55496479834207</v>
      </c>
      <c r="C87" s="20">
        <v>7.4600919087197237</v>
      </c>
      <c r="D87" s="20">
        <v>5.8711427621804271</v>
      </c>
      <c r="E87" s="20">
        <v>0.44340757961775817</v>
      </c>
      <c r="F87" s="21">
        <v>30.32960704885998</v>
      </c>
      <c r="G87" s="22">
        <v>0.54583512314131133</v>
      </c>
      <c r="H87" s="23">
        <v>0.2459673116338687</v>
      </c>
      <c r="I87" s="23">
        <v>0.19357793698817835</v>
      </c>
      <c r="J87" s="24">
        <v>1.4619628236641624E-2</v>
      </c>
    </row>
    <row r="88" spans="1:10">
      <c r="A88" s="18" t="s">
        <v>62</v>
      </c>
      <c r="B88" s="19">
        <v>27.582837452648153</v>
      </c>
      <c r="C88" s="20">
        <v>6.289257314723959</v>
      </c>
      <c r="D88" s="20">
        <v>2.4149527864451215</v>
      </c>
      <c r="E88" s="20">
        <v>2.0451705081953442</v>
      </c>
      <c r="F88" s="21">
        <v>38.332218062012586</v>
      </c>
      <c r="G88" s="22">
        <v>0.71957321666138796</v>
      </c>
      <c r="H88" s="23">
        <v>0.164072355650002</v>
      </c>
      <c r="I88" s="23">
        <v>6.300060128371103E-2</v>
      </c>
      <c r="J88" s="24">
        <v>5.335382640489876E-2</v>
      </c>
    </row>
    <row r="89" spans="1:10">
      <c r="A89" s="18" t="s">
        <v>31</v>
      </c>
      <c r="B89" s="19">
        <v>20.107401312007877</v>
      </c>
      <c r="C89" s="20">
        <v>0.29005491921434579</v>
      </c>
      <c r="D89" s="20">
        <v>0.70460636338933069</v>
      </c>
      <c r="E89" s="20">
        <v>8.0853199256507668</v>
      </c>
      <c r="F89" s="21">
        <v>29.187382520262318</v>
      </c>
      <c r="G89" s="22">
        <v>0.6889073145921536</v>
      </c>
      <c r="H89" s="23">
        <v>9.937681770983928E-3</v>
      </c>
      <c r="I89" s="23">
        <v>2.4140786276404962E-2</v>
      </c>
      <c r="J89" s="24">
        <v>0.27701421736045762</v>
      </c>
    </row>
    <row r="90" spans="1:10">
      <c r="A90" s="25" t="s">
        <v>32</v>
      </c>
      <c r="B90" s="26">
        <v>5170487.374781305</v>
      </c>
      <c r="C90" s="27">
        <v>1245149.6249317541</v>
      </c>
      <c r="D90" s="27">
        <v>820923.30117539642</v>
      </c>
      <c r="E90" s="27">
        <v>653660.23607756395</v>
      </c>
      <c r="F90" s="28">
        <v>7890220.5369660202</v>
      </c>
      <c r="G90" s="29">
        <v>0.6553032770829853</v>
      </c>
      <c r="H90" s="30">
        <v>0.15780922967845765</v>
      </c>
      <c r="I90" s="30">
        <v>0.10404313761945382</v>
      </c>
      <c r="J90" s="31">
        <v>8.2844355619103138E-2</v>
      </c>
    </row>
    <row r="91" spans="1:10">
      <c r="A91" s="32" t="s">
        <v>63</v>
      </c>
      <c r="B91" s="62">
        <v>5186291.8676389158</v>
      </c>
      <c r="C91" s="63">
        <v>1246093.0799481333</v>
      </c>
      <c r="D91" s="63">
        <v>821662.71688560455</v>
      </c>
      <c r="E91" s="63">
        <v>653910.95981142169</v>
      </c>
      <c r="F91" s="64">
        <v>7907958.6242840756</v>
      </c>
      <c r="G91" s="36">
        <v>0.65583194273584633</v>
      </c>
      <c r="H91" s="37">
        <v>0.15757455737332526</v>
      </c>
      <c r="I91" s="37">
        <v>0.1039032645368692</v>
      </c>
      <c r="J91" s="38">
        <v>8.269023535395921E-2</v>
      </c>
    </row>
    <row r="92" spans="1:10">
      <c r="A92" s="18" t="s">
        <v>33</v>
      </c>
      <c r="B92" s="19">
        <v>8832.572411935118</v>
      </c>
      <c r="C92" s="20">
        <v>2032.4485342002472</v>
      </c>
      <c r="D92" s="20">
        <v>1185.8052181875312</v>
      </c>
      <c r="E92" s="20">
        <v>1072.0705492941518</v>
      </c>
      <c r="F92" s="21">
        <v>13122.89671361705</v>
      </c>
      <c r="G92" s="22">
        <v>0.67306575710299898</v>
      </c>
      <c r="H92" s="23">
        <v>0.15487804091997959</v>
      </c>
      <c r="I92" s="23">
        <v>9.0361544715738984E-2</v>
      </c>
      <c r="J92" s="24">
        <v>8.1694657261282222E-2</v>
      </c>
    </row>
    <row r="93" spans="1:10">
      <c r="A93" s="18" t="s">
        <v>34</v>
      </c>
      <c r="B93" s="19">
        <v>56.958945117483168</v>
      </c>
      <c r="C93" s="20">
        <v>17.035110192024042</v>
      </c>
      <c r="D93" s="20">
        <v>10.542005351216876</v>
      </c>
      <c r="E93" s="20">
        <v>5.0106055384842403</v>
      </c>
      <c r="F93" s="21">
        <v>89.546666199208332</v>
      </c>
      <c r="G93" s="22">
        <v>0.63608113551397327</v>
      </c>
      <c r="H93" s="23">
        <v>0.19023723512081622</v>
      </c>
      <c r="I93" s="23">
        <v>0.1177263855671053</v>
      </c>
      <c r="J93" s="24">
        <v>5.5955243798105105E-2</v>
      </c>
    </row>
    <row r="94" spans="1:10">
      <c r="A94" s="39" t="s">
        <v>35</v>
      </c>
      <c r="B94" s="40">
        <v>5424079.9435823038</v>
      </c>
      <c r="C94" s="41">
        <v>1301980.7561403627</v>
      </c>
      <c r="D94" s="41">
        <v>854449.36493495549</v>
      </c>
      <c r="E94" s="41">
        <v>682205.88399424381</v>
      </c>
      <c r="F94" s="65">
        <v>8262715.9486518661</v>
      </c>
      <c r="G94" s="42">
        <v>0.65645242766299983</v>
      </c>
      <c r="H94" s="43">
        <v>0.15757297772686862</v>
      </c>
      <c r="I94" s="43">
        <v>0.10341023099969525</v>
      </c>
      <c r="J94" s="44">
        <v>8.25643636104363E-2</v>
      </c>
    </row>
    <row r="95" spans="1:10">
      <c r="A95" s="4" t="s">
        <v>36</v>
      </c>
      <c r="B95" s="45">
        <v>1289.8418476816446</v>
      </c>
      <c r="C95" s="46">
        <v>2250.5960394741396</v>
      </c>
      <c r="D95" s="46">
        <v>81.083144237092796</v>
      </c>
      <c r="E95" s="46">
        <v>29210.867646995252</v>
      </c>
      <c r="F95" s="47">
        <v>32832.388678388132</v>
      </c>
      <c r="G95" s="29">
        <v>3.9285653575692497E-2</v>
      </c>
      <c r="H95" s="30">
        <v>6.8548044478883463E-2</v>
      </c>
      <c r="I95" s="30">
        <v>2.4696084415711628E-3</v>
      </c>
      <c r="J95" s="31">
        <v>0.88969669350385283</v>
      </c>
    </row>
    <row r="96" spans="1:10">
      <c r="A96" s="5" t="s">
        <v>37</v>
      </c>
      <c r="B96" s="19">
        <v>13945.140756715597</v>
      </c>
      <c r="C96" s="20">
        <v>832.46030856983202</v>
      </c>
      <c r="D96" s="20">
        <v>652.42562665420394</v>
      </c>
      <c r="E96" s="20">
        <v>221.22682399207824</v>
      </c>
      <c r="F96" s="21">
        <v>15651.25351593171</v>
      </c>
      <c r="G96" s="22">
        <v>0.89099194147743954</v>
      </c>
      <c r="H96" s="23">
        <v>5.3188091785904223E-2</v>
      </c>
      <c r="I96" s="23">
        <v>4.1685199590568732E-2</v>
      </c>
      <c r="J96" s="24">
        <v>1.4134767146087515E-2</v>
      </c>
    </row>
    <row r="97" spans="1:10">
      <c r="A97" s="5" t="s">
        <v>38</v>
      </c>
      <c r="B97" s="19">
        <v>7034.5309830562373</v>
      </c>
      <c r="C97" s="20">
        <v>4268.2613925400274</v>
      </c>
      <c r="D97" s="20">
        <v>909.18486263154159</v>
      </c>
      <c r="E97" s="20">
        <v>1129.7326334416839</v>
      </c>
      <c r="F97" s="21">
        <v>13341.709871669493</v>
      </c>
      <c r="G97" s="22">
        <v>0.52725857860196323</v>
      </c>
      <c r="H97" s="23">
        <v>0.31991861864748566</v>
      </c>
      <c r="I97" s="23">
        <v>6.8146052595713671E-2</v>
      </c>
      <c r="J97" s="24">
        <v>8.4676750154837291E-2</v>
      </c>
    </row>
    <row r="98" spans="1:10">
      <c r="A98" s="5" t="s">
        <v>39</v>
      </c>
      <c r="B98" s="19">
        <v>7232.5870515713696</v>
      </c>
      <c r="C98" s="20">
        <v>2486.2697100293062</v>
      </c>
      <c r="D98" s="20">
        <v>1145.3680812689524</v>
      </c>
      <c r="E98" s="20">
        <v>424.63042339642141</v>
      </c>
      <c r="F98" s="21">
        <v>11288.855266266051</v>
      </c>
      <c r="G98" s="22">
        <v>0.64068383206082591</v>
      </c>
      <c r="H98" s="23">
        <v>0.22024108303159023</v>
      </c>
      <c r="I98" s="23">
        <v>0.10146007316539891</v>
      </c>
      <c r="J98" s="24">
        <v>3.7615011742184727E-2</v>
      </c>
    </row>
    <row r="99" spans="1:10">
      <c r="A99" s="5" t="s">
        <v>40</v>
      </c>
      <c r="B99" s="19">
        <v>3086.5122523757545</v>
      </c>
      <c r="C99" s="20">
        <v>935.79034837382881</v>
      </c>
      <c r="D99" s="20">
        <v>329.7702573279966</v>
      </c>
      <c r="E99" s="20">
        <v>248.32847789270502</v>
      </c>
      <c r="F99" s="21">
        <v>4600.4013359702849</v>
      </c>
      <c r="G99" s="22">
        <v>0.67092238849738717</v>
      </c>
      <c r="H99" s="23">
        <v>0.20341493709623454</v>
      </c>
      <c r="I99" s="23">
        <v>7.1682932258440385E-2</v>
      </c>
      <c r="J99" s="24">
        <v>5.3979742147937902E-2</v>
      </c>
    </row>
    <row r="100" spans="1:10">
      <c r="A100" s="48" t="s">
        <v>41</v>
      </c>
      <c r="B100" s="49">
        <v>19051.49763622188</v>
      </c>
      <c r="C100" s="50">
        <v>5950.9316544297535</v>
      </c>
      <c r="D100" s="50">
        <v>7281.1237678579419</v>
      </c>
      <c r="E100" s="50">
        <v>1335.4246095393803</v>
      </c>
      <c r="F100" s="51">
        <v>33618.977668048959</v>
      </c>
      <c r="G100" s="52">
        <v>0.56668878584990934</v>
      </c>
      <c r="H100" s="53">
        <v>0.17701108323961445</v>
      </c>
      <c r="I100" s="53">
        <v>0.21657778650353868</v>
      </c>
      <c r="J100" s="54">
        <v>3.972234440693747E-2</v>
      </c>
    </row>
    <row r="101" spans="1:10">
      <c r="A101" s="5" t="s">
        <v>42</v>
      </c>
      <c r="B101" s="19">
        <v>472.76426408650741</v>
      </c>
      <c r="C101" s="20">
        <v>5.8814860266991289</v>
      </c>
      <c r="D101" s="20">
        <v>15.772547938745928</v>
      </c>
      <c r="E101" s="20">
        <v>17919.866223614277</v>
      </c>
      <c r="F101" s="21">
        <v>18414.284521666228</v>
      </c>
      <c r="G101" s="22">
        <v>2.567377861085254E-2</v>
      </c>
      <c r="H101" s="23">
        <v>3.1939802058445323E-4</v>
      </c>
      <c r="I101" s="23">
        <v>8.5653873329631484E-4</v>
      </c>
      <c r="J101" s="24">
        <v>0.97315028463526676</v>
      </c>
    </row>
    <row r="102" spans="1:10">
      <c r="A102" s="5" t="s">
        <v>43</v>
      </c>
      <c r="B102" s="19">
        <v>189.43764914197291</v>
      </c>
      <c r="C102" s="20">
        <v>48.292338666021358</v>
      </c>
      <c r="D102" s="20">
        <v>40.107881623566868</v>
      </c>
      <c r="E102" s="20">
        <v>79.883239628190097</v>
      </c>
      <c r="F102" s="21">
        <v>357.7211090597512</v>
      </c>
      <c r="G102" s="22">
        <v>0.52956799122058684</v>
      </c>
      <c r="H102" s="23">
        <v>0.13499996909031989</v>
      </c>
      <c r="I102" s="23">
        <v>0.11212053358826955</v>
      </c>
      <c r="J102" s="24">
        <v>0.22331150610082384</v>
      </c>
    </row>
    <row r="103" spans="1:10">
      <c r="A103" s="5" t="s">
        <v>44</v>
      </c>
      <c r="B103" s="19">
        <v>610.6468480587024</v>
      </c>
      <c r="C103" s="20">
        <v>165.25782912484081</v>
      </c>
      <c r="D103" s="20">
        <v>136.02591811656299</v>
      </c>
      <c r="E103" s="20">
        <v>391.27948702515852</v>
      </c>
      <c r="F103" s="21">
        <v>1303.2100823252647</v>
      </c>
      <c r="G103" s="22">
        <v>0.46857130430509725</v>
      </c>
      <c r="H103" s="23">
        <v>0.12680828008173325</v>
      </c>
      <c r="I103" s="23">
        <v>0.10437758267942301</v>
      </c>
      <c r="J103" s="24">
        <v>0.30024283293374654</v>
      </c>
    </row>
    <row r="104" spans="1:10">
      <c r="A104" s="5" t="s">
        <v>45</v>
      </c>
      <c r="B104" s="19">
        <v>100.80382945892629</v>
      </c>
      <c r="C104" s="20">
        <v>10.591981124334028</v>
      </c>
      <c r="D104" s="20">
        <v>10.297234212443414</v>
      </c>
      <c r="E104" s="20">
        <v>149.73361276423091</v>
      </c>
      <c r="F104" s="21">
        <v>271.42665755993465</v>
      </c>
      <c r="G104" s="22">
        <v>0.37138514825747154</v>
      </c>
      <c r="H104" s="23">
        <v>3.9023363510252033E-2</v>
      </c>
      <c r="I104" s="23">
        <v>3.7937446177959314E-2</v>
      </c>
      <c r="J104" s="24">
        <v>0.55165404205431712</v>
      </c>
    </row>
    <row r="105" spans="1:10">
      <c r="A105" s="5" t="s">
        <v>46</v>
      </c>
      <c r="B105" s="19">
        <v>45.752098249489336</v>
      </c>
      <c r="C105" s="20">
        <v>6.2869834135972855</v>
      </c>
      <c r="D105" s="20">
        <v>5.7621520234080892</v>
      </c>
      <c r="E105" s="20">
        <v>97.015170197325787</v>
      </c>
      <c r="F105" s="21">
        <v>154.8164038838205</v>
      </c>
      <c r="G105" s="22">
        <v>0.29552487399089356</v>
      </c>
      <c r="H105" s="23">
        <v>4.0609284648642607E-2</v>
      </c>
      <c r="I105" s="23">
        <v>3.721926022601716E-2</v>
      </c>
      <c r="J105" s="24">
        <v>0.62664658113444671</v>
      </c>
    </row>
    <row r="106" spans="1:10" ht="15.75" thickBot="1">
      <c r="A106" s="55" t="s">
        <v>47</v>
      </c>
      <c r="B106" s="56">
        <v>863.94139065548086</v>
      </c>
      <c r="C106" s="57">
        <v>354.108404212658</v>
      </c>
      <c r="D106" s="57">
        <v>282.81892043798513</v>
      </c>
      <c r="E106" s="57">
        <v>555.12077134610047</v>
      </c>
      <c r="F106" s="58">
        <v>2055.9894866522245</v>
      </c>
      <c r="G106" s="59">
        <v>0.42020710527184646</v>
      </c>
      <c r="H106" s="60">
        <v>0.17223259482189962</v>
      </c>
      <c r="I106" s="60">
        <v>0.13755854408501877</v>
      </c>
      <c r="J106" s="61">
        <v>0.27000175582123515</v>
      </c>
    </row>
    <row r="107" spans="1:10">
      <c r="A107" s="66"/>
      <c r="B107" s="20"/>
      <c r="C107" s="20"/>
      <c r="D107" s="20"/>
      <c r="E107" s="20"/>
      <c r="F107" s="20"/>
      <c r="G107" s="23"/>
      <c r="H107" s="23"/>
      <c r="I107" s="23"/>
      <c r="J107" s="23"/>
    </row>
    <row r="108" spans="1:10" ht="16.5" thickBot="1">
      <c r="A108" s="12" t="s">
        <v>76</v>
      </c>
      <c r="B108" s="11"/>
      <c r="C108" s="11"/>
      <c r="D108" s="11"/>
      <c r="E108" s="11"/>
      <c r="F108" s="11"/>
      <c r="G108" s="11"/>
      <c r="H108" s="11"/>
      <c r="I108" s="11"/>
      <c r="J108" s="11"/>
    </row>
    <row r="109" spans="1:10" ht="15.75">
      <c r="A109" s="13"/>
      <c r="B109" s="558" t="s">
        <v>67</v>
      </c>
      <c r="C109" s="559"/>
      <c r="D109" s="559"/>
      <c r="E109" s="559"/>
      <c r="F109" s="560"/>
      <c r="G109" s="558" t="s">
        <v>68</v>
      </c>
      <c r="H109" s="559"/>
      <c r="I109" s="559"/>
      <c r="J109" s="560"/>
    </row>
    <row r="110" spans="1:10">
      <c r="A110" s="14"/>
      <c r="B110" s="15" t="s">
        <v>69</v>
      </c>
      <c r="C110" s="16" t="s">
        <v>70</v>
      </c>
      <c r="D110" s="16" t="s">
        <v>71</v>
      </c>
      <c r="E110" s="16" t="s">
        <v>72</v>
      </c>
      <c r="F110" s="17" t="s">
        <v>26</v>
      </c>
      <c r="G110" s="15" t="s">
        <v>69</v>
      </c>
      <c r="H110" s="16" t="s">
        <v>70</v>
      </c>
      <c r="I110" s="16" t="s">
        <v>71</v>
      </c>
      <c r="J110" s="17" t="s">
        <v>72</v>
      </c>
    </row>
    <row r="111" spans="1:10">
      <c r="A111" s="18" t="s">
        <v>60</v>
      </c>
      <c r="B111" s="19">
        <v>86.548726157295761</v>
      </c>
      <c r="C111" s="20">
        <v>15.548815398391199</v>
      </c>
      <c r="D111" s="20">
        <v>20.767395161512045</v>
      </c>
      <c r="E111" s="20">
        <v>2.4656205552512547</v>
      </c>
      <c r="F111" s="21">
        <v>125.33055727245025</v>
      </c>
      <c r="G111" s="22">
        <v>0.69056364258519587</v>
      </c>
      <c r="H111" s="23">
        <v>0.1240624452390358</v>
      </c>
      <c r="I111" s="23">
        <v>0.16570097200131947</v>
      </c>
      <c r="J111" s="24">
        <v>1.9672940174448896E-2</v>
      </c>
    </row>
    <row r="112" spans="1:10">
      <c r="A112" s="18" t="s">
        <v>61</v>
      </c>
      <c r="B112" s="19">
        <v>80.708073066036079</v>
      </c>
      <c r="C112" s="20">
        <v>14.039404142658029</v>
      </c>
      <c r="D112" s="20">
        <v>18.349823243790169</v>
      </c>
      <c r="E112" s="20">
        <v>2.4255906172392971</v>
      </c>
      <c r="F112" s="21">
        <v>115.52289106972357</v>
      </c>
      <c r="G112" s="22">
        <v>0.69863273260123748</v>
      </c>
      <c r="H112" s="23">
        <v>0.12152919661770392</v>
      </c>
      <c r="I112" s="23">
        <v>0.1588414475596458</v>
      </c>
      <c r="J112" s="24">
        <v>2.0996623221412783E-2</v>
      </c>
    </row>
    <row r="113" spans="1:10">
      <c r="A113" s="18" t="s">
        <v>29</v>
      </c>
      <c r="B113" s="19">
        <v>22.537943411018276</v>
      </c>
      <c r="C113" s="20">
        <v>7.4600919087197237</v>
      </c>
      <c r="D113" s="20">
        <v>11.910069322611985</v>
      </c>
      <c r="E113" s="20">
        <v>0.19567403295940422</v>
      </c>
      <c r="F113" s="21">
        <v>42.103778675309385</v>
      </c>
      <c r="G113" s="22">
        <v>0.53529502862019929</v>
      </c>
      <c r="H113" s="23">
        <v>0.17718342969284351</v>
      </c>
      <c r="I113" s="23">
        <v>0.28287411955251229</v>
      </c>
      <c r="J113" s="24">
        <v>4.6474221344449526E-3</v>
      </c>
    </row>
    <row r="114" spans="1:10">
      <c r="A114" s="18" t="s">
        <v>62</v>
      </c>
      <c r="B114" s="19">
        <v>36.262625794595706</v>
      </c>
      <c r="C114" s="20">
        <v>6.289257314723959</v>
      </c>
      <c r="D114" s="20">
        <v>4.9638937352956187</v>
      </c>
      <c r="E114" s="20">
        <v>1.3814728676009029</v>
      </c>
      <c r="F114" s="21">
        <v>48.897249712216187</v>
      </c>
      <c r="G114" s="22">
        <v>0.74160870003975043</v>
      </c>
      <c r="H114" s="23">
        <v>0.12862190310782837</v>
      </c>
      <c r="I114" s="23">
        <v>0.10151682895276358</v>
      </c>
      <c r="J114" s="24">
        <v>2.8252567899657643E-2</v>
      </c>
    </row>
    <row r="115" spans="1:10">
      <c r="A115" s="18" t="s">
        <v>31</v>
      </c>
      <c r="B115" s="19">
        <v>21.907503860422096</v>
      </c>
      <c r="C115" s="20">
        <v>0.29005491921434579</v>
      </c>
      <c r="D115" s="20">
        <v>1.4758601858825657</v>
      </c>
      <c r="E115" s="20">
        <v>0.84844371667899021</v>
      </c>
      <c r="F115" s="21">
        <v>24.521862682197998</v>
      </c>
      <c r="G115" s="22">
        <v>0.89338661358405558</v>
      </c>
      <c r="H115" s="23">
        <v>1.1828421151094504E-2</v>
      </c>
      <c r="I115" s="23">
        <v>6.0185484480099784E-2</v>
      </c>
      <c r="J115" s="24">
        <v>3.45994807847501E-2</v>
      </c>
    </row>
    <row r="116" spans="1:10">
      <c r="A116" s="25" t="s">
        <v>32</v>
      </c>
      <c r="B116" s="26">
        <v>6638481.8079950921</v>
      </c>
      <c r="C116" s="27">
        <v>1245149.6249317541</v>
      </c>
      <c r="D116" s="27">
        <v>1675349.6194182718</v>
      </c>
      <c r="E116" s="27">
        <v>138897.05998965859</v>
      </c>
      <c r="F116" s="28">
        <v>9697878.1123347785</v>
      </c>
      <c r="G116" s="29">
        <v>0.68452930951478708</v>
      </c>
      <c r="H116" s="30">
        <v>0.12839402707567979</v>
      </c>
      <c r="I116" s="30">
        <v>0.17275424582696977</v>
      </c>
      <c r="J116" s="31">
        <v>1.4322417582563215E-2</v>
      </c>
    </row>
    <row r="117" spans="1:10">
      <c r="A117" s="32" t="s">
        <v>63</v>
      </c>
      <c r="B117" s="62">
        <v>6675265.836863677</v>
      </c>
      <c r="C117" s="63">
        <v>1246093.0799481333</v>
      </c>
      <c r="D117" s="63">
        <v>1676907.1452833232</v>
      </c>
      <c r="E117" s="63">
        <v>138960.94798458077</v>
      </c>
      <c r="F117" s="64">
        <v>9737227.0100797135</v>
      </c>
      <c r="G117" s="36">
        <v>0.68554074275495713</v>
      </c>
      <c r="H117" s="37">
        <v>0.12797206829605715</v>
      </c>
      <c r="I117" s="37">
        <v>0.17221608816837014</v>
      </c>
      <c r="J117" s="38">
        <v>1.4271100780615689E-2</v>
      </c>
    </row>
    <row r="118" spans="1:10">
      <c r="A118" s="18" t="s">
        <v>33</v>
      </c>
      <c r="B118" s="19">
        <v>11305.702510991954</v>
      </c>
      <c r="C118" s="20">
        <v>2032.4485342002472</v>
      </c>
      <c r="D118" s="20">
        <v>2414.1192891781625</v>
      </c>
      <c r="E118" s="20">
        <v>322.75154143797545</v>
      </c>
      <c r="F118" s="21">
        <v>16075.021875808339</v>
      </c>
      <c r="G118" s="22">
        <v>0.70330868588155138</v>
      </c>
      <c r="H118" s="23">
        <v>0.12643519554140853</v>
      </c>
      <c r="I118" s="23">
        <v>0.1501782895120799</v>
      </c>
      <c r="J118" s="24">
        <v>2.0077829064960185E-2</v>
      </c>
    </row>
    <row r="119" spans="1:10">
      <c r="A119" s="18" t="s">
        <v>34</v>
      </c>
      <c r="B119" s="19">
        <v>71.7347519451409</v>
      </c>
      <c r="C119" s="20">
        <v>17.035110192024042</v>
      </c>
      <c r="D119" s="20">
        <v>21.494643284834581</v>
      </c>
      <c r="E119" s="20">
        <v>1.4283496908590227</v>
      </c>
      <c r="F119" s="21">
        <v>111.69285511285855</v>
      </c>
      <c r="G119" s="22">
        <v>0.64225014100192424</v>
      </c>
      <c r="H119" s="23">
        <v>0.1525174566879067</v>
      </c>
      <c r="I119" s="23">
        <v>0.19244421017902716</v>
      </c>
      <c r="J119" s="24">
        <v>1.2788192131141834E-2</v>
      </c>
    </row>
    <row r="120" spans="1:10">
      <c r="A120" s="39" t="s">
        <v>35</v>
      </c>
      <c r="B120" s="40">
        <v>6979285.3557181275</v>
      </c>
      <c r="C120" s="41">
        <v>1301980.7561403627</v>
      </c>
      <c r="D120" s="41">
        <v>1743665.5312116579</v>
      </c>
      <c r="E120" s="41">
        <v>147455.38472840615</v>
      </c>
      <c r="F120" s="65">
        <v>10172387.027798554</v>
      </c>
      <c r="G120" s="42">
        <v>0.68610104360417179</v>
      </c>
      <c r="H120" s="43">
        <v>0.12799166533699313</v>
      </c>
      <c r="I120" s="43">
        <v>0.17141163882642907</v>
      </c>
      <c r="J120" s="44">
        <v>1.4495652232406021E-2</v>
      </c>
    </row>
    <row r="121" spans="1:10">
      <c r="A121" s="4" t="s">
        <v>36</v>
      </c>
      <c r="B121" s="45">
        <v>1476.8608509419996</v>
      </c>
      <c r="C121" s="46">
        <v>2250.5960394741396</v>
      </c>
      <c r="D121" s="46">
        <v>165.25704011921189</v>
      </c>
      <c r="E121" s="46">
        <v>28906.72678854156</v>
      </c>
      <c r="F121" s="47">
        <v>32799.440719076913</v>
      </c>
      <c r="G121" s="29">
        <v>4.5027013222302389E-2</v>
      </c>
      <c r="H121" s="30">
        <v>6.861690291460186E-2</v>
      </c>
      <c r="I121" s="30">
        <v>5.0384103050603113E-3</v>
      </c>
      <c r="J121" s="31">
        <v>0.88131767355803536</v>
      </c>
    </row>
    <row r="122" spans="1:10">
      <c r="A122" s="5" t="s">
        <v>37</v>
      </c>
      <c r="B122" s="19">
        <v>32456.496060516471</v>
      </c>
      <c r="C122" s="20">
        <v>832.46030856983202</v>
      </c>
      <c r="D122" s="20">
        <v>1374.2875279866166</v>
      </c>
      <c r="E122" s="20">
        <v>56.371760225457649</v>
      </c>
      <c r="F122" s="21">
        <v>34719.615657298367</v>
      </c>
      <c r="G122" s="22">
        <v>0.93481726240520269</v>
      </c>
      <c r="H122" s="23">
        <v>2.3976656792133628E-2</v>
      </c>
      <c r="I122" s="23">
        <v>3.9582452223883687E-2</v>
      </c>
      <c r="J122" s="24">
        <v>1.6236285787803015E-3</v>
      </c>
    </row>
    <row r="123" spans="1:10">
      <c r="A123" s="5" t="s">
        <v>38</v>
      </c>
      <c r="B123" s="19">
        <v>8351.2265116293602</v>
      </c>
      <c r="C123" s="20">
        <v>4268.2613925400274</v>
      </c>
      <c r="D123" s="20">
        <v>1853.9529856201425</v>
      </c>
      <c r="E123" s="20">
        <v>243.82477633278555</v>
      </c>
      <c r="F123" s="21">
        <v>14717.265666122315</v>
      </c>
      <c r="G123" s="22">
        <v>0.56744416395588038</v>
      </c>
      <c r="H123" s="23">
        <v>0.29001728237909991</v>
      </c>
      <c r="I123" s="23">
        <v>0.12597129301591384</v>
      </c>
      <c r="J123" s="24">
        <v>1.6567260649105898E-2</v>
      </c>
    </row>
    <row r="124" spans="1:10">
      <c r="A124" s="5" t="s">
        <v>39</v>
      </c>
      <c r="B124" s="19">
        <v>9759.265559231826</v>
      </c>
      <c r="C124" s="20">
        <v>2486.2697100293062</v>
      </c>
      <c r="D124" s="20">
        <v>2322.8455226509504</v>
      </c>
      <c r="E124" s="20">
        <v>82.991750577883863</v>
      </c>
      <c r="F124" s="21">
        <v>14651.372542489966</v>
      </c>
      <c r="G124" s="22">
        <v>0.66609906552640719</v>
      </c>
      <c r="H124" s="23">
        <v>0.16969534443404241</v>
      </c>
      <c r="I124" s="23">
        <v>0.15854115482454237</v>
      </c>
      <c r="J124" s="24">
        <v>5.6644352150081638E-3</v>
      </c>
    </row>
    <row r="125" spans="1:10">
      <c r="A125" s="5" t="s">
        <v>40</v>
      </c>
      <c r="B125" s="19">
        <v>4119.6956071627319</v>
      </c>
      <c r="C125" s="20">
        <v>935.79034837382881</v>
      </c>
      <c r="D125" s="20">
        <v>669.05240661404332</v>
      </c>
      <c r="E125" s="20">
        <v>43.17655420181481</v>
      </c>
      <c r="F125" s="21">
        <v>5767.7149163524191</v>
      </c>
      <c r="G125" s="22">
        <v>0.71426824434105063</v>
      </c>
      <c r="H125" s="23">
        <v>0.16224629024584927</v>
      </c>
      <c r="I125" s="23">
        <v>0.11599956244667535</v>
      </c>
      <c r="J125" s="24">
        <v>7.4859029664247423E-3</v>
      </c>
    </row>
    <row r="126" spans="1:10">
      <c r="A126" s="48" t="s">
        <v>41</v>
      </c>
      <c r="B126" s="49">
        <v>23711.869987993869</v>
      </c>
      <c r="C126" s="50">
        <v>5950.9316544297535</v>
      </c>
      <c r="D126" s="50">
        <v>15318.65354481676</v>
      </c>
      <c r="E126" s="50">
        <v>248.37482073474064</v>
      </c>
      <c r="F126" s="51">
        <v>45229.830007975121</v>
      </c>
      <c r="G126" s="52">
        <v>0.52425290972380145</v>
      </c>
      <c r="H126" s="53">
        <v>0.13157094893747023</v>
      </c>
      <c r="I126" s="53">
        <v>0.33868474725895958</v>
      </c>
      <c r="J126" s="54">
        <v>5.49139407976873E-3</v>
      </c>
    </row>
    <row r="127" spans="1:10">
      <c r="A127" s="5" t="s">
        <v>42</v>
      </c>
      <c r="B127" s="19">
        <v>511.25827473624446</v>
      </c>
      <c r="C127" s="20">
        <v>5.8814860266991289</v>
      </c>
      <c r="D127" s="20">
        <v>33.096286358779814</v>
      </c>
      <c r="E127" s="20">
        <v>17812.866204839738</v>
      </c>
      <c r="F127" s="21">
        <v>18363.102251961463</v>
      </c>
      <c r="G127" s="22">
        <v>2.784160692029225E-2</v>
      </c>
      <c r="H127" s="23">
        <v>3.2028825772458436E-4</v>
      </c>
      <c r="I127" s="23">
        <v>1.8023254406942387E-3</v>
      </c>
      <c r="J127" s="24">
        <v>0.97003577938128882</v>
      </c>
    </row>
    <row r="128" spans="1:10">
      <c r="A128" s="5" t="s">
        <v>43</v>
      </c>
      <c r="B128" s="19">
        <v>223.99890085288143</v>
      </c>
      <c r="C128" s="20">
        <v>48.292338666021358</v>
      </c>
      <c r="D128" s="20">
        <v>81.840286307973329</v>
      </c>
      <c r="E128" s="20">
        <v>7.672356818445679</v>
      </c>
      <c r="F128" s="21">
        <v>361.80388264532178</v>
      </c>
      <c r="G128" s="22">
        <v>0.61911690724576529</v>
      </c>
      <c r="H128" s="23">
        <v>0.1334765628078198</v>
      </c>
      <c r="I128" s="23">
        <v>0.22620068560237588</v>
      </c>
      <c r="J128" s="24">
        <v>2.1205844344039087E-2</v>
      </c>
    </row>
    <row r="129" spans="1:10">
      <c r="A129" s="5" t="s">
        <v>44</v>
      </c>
      <c r="B129" s="19">
        <v>719.90060458452388</v>
      </c>
      <c r="C129" s="20">
        <v>165.25782912484081</v>
      </c>
      <c r="D129" s="20">
        <v>277.41165619632818</v>
      </c>
      <c r="E129" s="20">
        <v>28.730726174609696</v>
      </c>
      <c r="F129" s="21">
        <v>1191.3008160803026</v>
      </c>
      <c r="G129" s="22">
        <v>0.6042979194400192</v>
      </c>
      <c r="H129" s="23">
        <v>0.13872048679407703</v>
      </c>
      <c r="I129" s="23">
        <v>0.23286448934794363</v>
      </c>
      <c r="J129" s="24">
        <v>2.4117104417960063E-2</v>
      </c>
    </row>
    <row r="130" spans="1:10">
      <c r="A130" s="5" t="s">
        <v>45</v>
      </c>
      <c r="B130" s="19">
        <v>112.2541086763689</v>
      </c>
      <c r="C130" s="20">
        <v>10.591981124334028</v>
      </c>
      <c r="D130" s="20">
        <v>21.126125132973932</v>
      </c>
      <c r="E130" s="20">
        <v>7.5658539255296464</v>
      </c>
      <c r="F130" s="21">
        <v>151.5380688592065</v>
      </c>
      <c r="G130" s="22">
        <v>0.74076507323492291</v>
      </c>
      <c r="H130" s="23">
        <v>6.9896503261995507E-2</v>
      </c>
      <c r="I130" s="23">
        <v>0.1394113392892854</v>
      </c>
      <c r="J130" s="24">
        <v>4.9927084213796172E-2</v>
      </c>
    </row>
    <row r="131" spans="1:10">
      <c r="A131" s="5" t="s">
        <v>46</v>
      </c>
      <c r="B131" s="19">
        <v>51.637966828775824</v>
      </c>
      <c r="C131" s="20">
        <v>6.2869834135972855</v>
      </c>
      <c r="D131" s="20">
        <v>11.798068055134499</v>
      </c>
      <c r="E131" s="20">
        <v>4.3735305466545507</v>
      </c>
      <c r="F131" s="21">
        <v>74.096548844162157</v>
      </c>
      <c r="G131" s="22">
        <v>0.69690110584474574</v>
      </c>
      <c r="H131" s="23">
        <v>8.4848532241628388E-2</v>
      </c>
      <c r="I131" s="23">
        <v>0.15922560819867432</v>
      </c>
      <c r="J131" s="24">
        <v>5.9024753714951569E-2</v>
      </c>
    </row>
    <row r="132" spans="1:10" ht="15.75" thickBot="1">
      <c r="A132" s="55" t="s">
        <v>47</v>
      </c>
      <c r="B132" s="56">
        <v>1046.4992861825124</v>
      </c>
      <c r="C132" s="57">
        <v>354.108404212658</v>
      </c>
      <c r="D132" s="57">
        <v>575.83840094970856</v>
      </c>
      <c r="E132" s="57">
        <v>34.317323665975977</v>
      </c>
      <c r="F132" s="58">
        <v>2010.7634150108547</v>
      </c>
      <c r="G132" s="59">
        <v>0.52044874019993204</v>
      </c>
      <c r="H132" s="60">
        <v>0.17610644870955464</v>
      </c>
      <c r="I132" s="60">
        <v>0.28637799785441193</v>
      </c>
      <c r="J132" s="61">
        <v>1.7066813236101534E-2</v>
      </c>
    </row>
    <row r="133" spans="1:10">
      <c r="A133" s="11"/>
      <c r="B133" s="11"/>
      <c r="C133" s="11"/>
      <c r="D133" s="11"/>
      <c r="E133" s="11"/>
      <c r="F133" s="11"/>
      <c r="G133" s="11"/>
      <c r="H133" s="11"/>
      <c r="I133" s="11"/>
      <c r="J133" s="11"/>
    </row>
    <row r="134" spans="1:10" ht="16.5" thickBot="1">
      <c r="A134" s="12" t="s">
        <v>77</v>
      </c>
      <c r="B134" s="11"/>
      <c r="C134" s="11"/>
      <c r="D134" s="11"/>
      <c r="E134" s="11"/>
      <c r="F134" s="11"/>
      <c r="G134" s="11"/>
      <c r="H134" s="11"/>
      <c r="I134" s="11"/>
      <c r="J134" s="11"/>
    </row>
    <row r="135" spans="1:10" ht="15.75">
      <c r="A135" s="13"/>
      <c r="B135" s="558" t="s">
        <v>67</v>
      </c>
      <c r="C135" s="559"/>
      <c r="D135" s="559"/>
      <c r="E135" s="559"/>
      <c r="F135" s="560"/>
      <c r="G135" s="558" t="s">
        <v>68</v>
      </c>
      <c r="H135" s="559"/>
      <c r="I135" s="559"/>
      <c r="J135" s="560"/>
    </row>
    <row r="136" spans="1:10">
      <c r="A136" s="14"/>
      <c r="B136" s="15" t="s">
        <v>69</v>
      </c>
      <c r="C136" s="16" t="s">
        <v>70</v>
      </c>
      <c r="D136" s="16" t="s">
        <v>71</v>
      </c>
      <c r="E136" s="16" t="s">
        <v>72</v>
      </c>
      <c r="F136" s="17" t="s">
        <v>26</v>
      </c>
      <c r="G136" s="15" t="s">
        <v>69</v>
      </c>
      <c r="H136" s="16" t="s">
        <v>70</v>
      </c>
      <c r="I136" s="16" t="s">
        <v>71</v>
      </c>
      <c r="J136" s="17" t="s">
        <v>72</v>
      </c>
    </row>
    <row r="137" spans="1:10">
      <c r="A137" s="18" t="s">
        <v>60</v>
      </c>
      <c r="B137" s="19">
        <v>95.342195399329043</v>
      </c>
      <c r="C137" s="20">
        <v>15.548815398391199</v>
      </c>
      <c r="D137" s="20">
        <v>13.196989411484495</v>
      </c>
      <c r="E137" s="20">
        <v>2.4656205552512547</v>
      </c>
      <c r="F137" s="21">
        <v>126.55362076445599</v>
      </c>
      <c r="G137" s="22">
        <v>0.75337390446364039</v>
      </c>
      <c r="H137" s="23">
        <v>0.12286345743778403</v>
      </c>
      <c r="I137" s="23">
        <v>0.10427982488187346</v>
      </c>
      <c r="J137" s="24">
        <v>1.9482813216702151E-2</v>
      </c>
    </row>
    <row r="138" spans="1:10">
      <c r="A138" s="18" t="s">
        <v>61</v>
      </c>
      <c r="B138" s="19">
        <v>88.239279144291814</v>
      </c>
      <c r="C138" s="20">
        <v>14.039404142658029</v>
      </c>
      <c r="D138" s="20">
        <v>11.660413908786454</v>
      </c>
      <c r="E138" s="20">
        <v>2.4255906172392971</v>
      </c>
      <c r="F138" s="21">
        <v>116.36468781297559</v>
      </c>
      <c r="G138" s="22">
        <v>0.75829945323371917</v>
      </c>
      <c r="H138" s="23">
        <v>0.12065003917015213</v>
      </c>
      <c r="I138" s="23">
        <v>0.10020577657998259</v>
      </c>
      <c r="J138" s="24">
        <v>2.0844731016146159E-2</v>
      </c>
    </row>
    <row r="139" spans="1:10">
      <c r="A139" s="18" t="s">
        <v>29</v>
      </c>
      <c r="B139" s="19">
        <v>19.572931348336404</v>
      </c>
      <c r="C139" s="20">
        <v>7.4600919087197237</v>
      </c>
      <c r="D139" s="20">
        <v>7.5715084871962128</v>
      </c>
      <c r="E139" s="20">
        <v>0.19567403295940422</v>
      </c>
      <c r="F139" s="21">
        <v>34.800205777211744</v>
      </c>
      <c r="G139" s="22">
        <v>0.56243723021756864</v>
      </c>
      <c r="H139" s="23">
        <v>0.21436918955246018</v>
      </c>
      <c r="I139" s="23">
        <v>0.21757079643920588</v>
      </c>
      <c r="J139" s="24">
        <v>5.6227837907653309E-3</v>
      </c>
    </row>
    <row r="140" spans="1:10">
      <c r="A140" s="18" t="s">
        <v>62</v>
      </c>
      <c r="B140" s="19">
        <v>36.542765472983909</v>
      </c>
      <c r="C140" s="20">
        <v>6.289257314723959</v>
      </c>
      <c r="D140" s="20">
        <v>3.1527510968969681</v>
      </c>
      <c r="E140" s="20">
        <v>1.3814728676009029</v>
      </c>
      <c r="F140" s="21">
        <v>47.366246752205733</v>
      </c>
      <c r="G140" s="22">
        <v>0.77149379523684136</v>
      </c>
      <c r="H140" s="23">
        <v>0.13277930479959515</v>
      </c>
      <c r="I140" s="23">
        <v>6.6561133994644653E-2</v>
      </c>
      <c r="J140" s="24">
        <v>2.9165765968919018E-2</v>
      </c>
    </row>
    <row r="141" spans="1:10">
      <c r="A141" s="18" t="s">
        <v>31</v>
      </c>
      <c r="B141" s="19">
        <v>32.123582322971494</v>
      </c>
      <c r="C141" s="20">
        <v>0.29005491921434579</v>
      </c>
      <c r="D141" s="20">
        <v>0.93615432469327331</v>
      </c>
      <c r="E141" s="20">
        <v>0.84844371667899021</v>
      </c>
      <c r="F141" s="21">
        <v>34.198235283558112</v>
      </c>
      <c r="G141" s="22">
        <v>0.93933450239802074</v>
      </c>
      <c r="H141" s="23">
        <v>8.4815756371440284E-3</v>
      </c>
      <c r="I141" s="23">
        <v>2.7374345983968339E-2</v>
      </c>
      <c r="J141" s="24">
        <v>2.4809575980866663E-2</v>
      </c>
    </row>
    <row r="142" spans="1:10">
      <c r="A142" s="25" t="s">
        <v>32</v>
      </c>
      <c r="B142" s="26">
        <v>7070572.1331989057</v>
      </c>
      <c r="C142" s="27">
        <v>1245149.6249317541</v>
      </c>
      <c r="D142" s="27">
        <v>1064608.7115812874</v>
      </c>
      <c r="E142" s="27">
        <v>138897.05998965859</v>
      </c>
      <c r="F142" s="28">
        <v>9519227.5297016073</v>
      </c>
      <c r="G142" s="29">
        <v>0.74276742636285553</v>
      </c>
      <c r="H142" s="30">
        <v>0.13080364147686099</v>
      </c>
      <c r="I142" s="30">
        <v>0.11183772089274338</v>
      </c>
      <c r="J142" s="31">
        <v>1.4591211267539952E-2</v>
      </c>
    </row>
    <row r="143" spans="1:10">
      <c r="A143" s="32" t="s">
        <v>63</v>
      </c>
      <c r="B143" s="62">
        <v>7084743.1835772032</v>
      </c>
      <c r="C143" s="63">
        <v>1246093.0799481333</v>
      </c>
      <c r="D143" s="63">
        <v>1065596.2873842914</v>
      </c>
      <c r="E143" s="63">
        <v>138960.94798458077</v>
      </c>
      <c r="F143" s="64">
        <v>9535393.498894209</v>
      </c>
      <c r="G143" s="36">
        <v>0.74299431737125476</v>
      </c>
      <c r="H143" s="37">
        <v>0.13068082403653702</v>
      </c>
      <c r="I143" s="37">
        <v>0.11175168465862111</v>
      </c>
      <c r="J143" s="38">
        <v>1.4573173933587077E-2</v>
      </c>
    </row>
    <row r="144" spans="1:10">
      <c r="A144" s="18" t="s">
        <v>33</v>
      </c>
      <c r="B144" s="19">
        <v>11871.576655415931</v>
      </c>
      <c r="C144" s="20">
        <v>2032.4485342002472</v>
      </c>
      <c r="D144" s="20">
        <v>1534.3255088950532</v>
      </c>
      <c r="E144" s="20">
        <v>322.75154143797545</v>
      </c>
      <c r="F144" s="21">
        <v>15761.102239949209</v>
      </c>
      <c r="G144" s="22">
        <v>0.75321995090707483</v>
      </c>
      <c r="H144" s="23">
        <v>0.12895345155801724</v>
      </c>
      <c r="I144" s="23">
        <v>9.7348871007640753E-2</v>
      </c>
      <c r="J144" s="24">
        <v>2.0477726527267013E-2</v>
      </c>
    </row>
    <row r="145" spans="1:10">
      <c r="A145" s="18" t="s">
        <v>34</v>
      </c>
      <c r="B145" s="19">
        <v>76.378395376111328</v>
      </c>
      <c r="C145" s="20">
        <v>17.035110192024042</v>
      </c>
      <c r="D145" s="20">
        <v>13.659744245694695</v>
      </c>
      <c r="E145" s="20">
        <v>1.4283496908590227</v>
      </c>
      <c r="F145" s="21">
        <v>108.5015995046891</v>
      </c>
      <c r="G145" s="22">
        <v>0.70393796704177158</v>
      </c>
      <c r="H145" s="23">
        <v>0.15700330935018003</v>
      </c>
      <c r="I145" s="23">
        <v>0.12589440439635513</v>
      </c>
      <c r="J145" s="24">
        <v>1.3164319211693224E-2</v>
      </c>
    </row>
    <row r="146" spans="1:10">
      <c r="A146" s="39" t="s">
        <v>35</v>
      </c>
      <c r="B146" s="40">
        <v>7404293.3617846826</v>
      </c>
      <c r="C146" s="41">
        <v>1301980.7561403627</v>
      </c>
      <c r="D146" s="41">
        <v>1108025.0288918847</v>
      </c>
      <c r="E146" s="41">
        <v>147455.38472840615</v>
      </c>
      <c r="F146" s="65">
        <v>9961754.5315453373</v>
      </c>
      <c r="G146" s="42">
        <v>0.74327201481806404</v>
      </c>
      <c r="H146" s="43">
        <v>0.13069793599284665</v>
      </c>
      <c r="I146" s="43">
        <v>0.11122789920020244</v>
      </c>
      <c r="J146" s="44">
        <v>1.480214998888673E-2</v>
      </c>
    </row>
    <row r="147" spans="1:10">
      <c r="A147" s="4" t="s">
        <v>36</v>
      </c>
      <c r="B147" s="45">
        <v>1479.2590268496403</v>
      </c>
      <c r="C147" s="46">
        <v>2250.5960394741396</v>
      </c>
      <c r="D147" s="46">
        <v>105.02308227381546</v>
      </c>
      <c r="E147" s="46">
        <v>28906.72678854156</v>
      </c>
      <c r="F147" s="47">
        <v>32741.604937139156</v>
      </c>
      <c r="G147" s="29">
        <v>4.5179795849643913E-2</v>
      </c>
      <c r="H147" s="30">
        <v>6.8738109930624208E-2</v>
      </c>
      <c r="I147" s="30">
        <v>3.2076339102939527E-3</v>
      </c>
      <c r="J147" s="31">
        <v>0.88287446030943795</v>
      </c>
    </row>
    <row r="148" spans="1:10">
      <c r="A148" s="5" t="s">
        <v>37</v>
      </c>
      <c r="B148" s="19">
        <v>12503.867980851079</v>
      </c>
      <c r="C148" s="20">
        <v>832.46030856983202</v>
      </c>
      <c r="D148" s="20">
        <v>871.39041441520078</v>
      </c>
      <c r="E148" s="20">
        <v>56.371760225457649</v>
      </c>
      <c r="F148" s="21">
        <v>14264.09046406157</v>
      </c>
      <c r="G148" s="22">
        <v>0.87659763602555818</v>
      </c>
      <c r="H148" s="23">
        <v>5.8360560083884697E-2</v>
      </c>
      <c r="I148" s="23">
        <v>6.1089798652824885E-2</v>
      </c>
      <c r="J148" s="24">
        <v>3.9520052377322278E-3</v>
      </c>
    </row>
    <row r="149" spans="1:10">
      <c r="A149" s="5" t="s">
        <v>38</v>
      </c>
      <c r="B149" s="19">
        <v>9933.1056289281005</v>
      </c>
      <c r="C149" s="20">
        <v>4268.2613925400274</v>
      </c>
      <c r="D149" s="20">
        <v>1178.1708426511336</v>
      </c>
      <c r="E149" s="20">
        <v>243.82477633278555</v>
      </c>
      <c r="F149" s="21">
        <v>15623.362640452047</v>
      </c>
      <c r="G149" s="22">
        <v>0.63578538484469915</v>
      </c>
      <c r="H149" s="23">
        <v>0.27319735774990173</v>
      </c>
      <c r="I149" s="23">
        <v>7.5410836307454765E-2</v>
      </c>
      <c r="J149" s="24">
        <v>1.5606421097944297E-2</v>
      </c>
    </row>
    <row r="150" spans="1:10">
      <c r="A150" s="5" t="s">
        <v>39</v>
      </c>
      <c r="B150" s="19">
        <v>8870.9044130740422</v>
      </c>
      <c r="C150" s="20">
        <v>2486.2697100293062</v>
      </c>
      <c r="D150" s="20">
        <v>1476.7149071363751</v>
      </c>
      <c r="E150" s="20">
        <v>82.991750577883863</v>
      </c>
      <c r="F150" s="21">
        <v>12916.880780817606</v>
      </c>
      <c r="G150" s="22">
        <v>0.68676831222657886</v>
      </c>
      <c r="H150" s="23">
        <v>0.19248220620891507</v>
      </c>
      <c r="I150" s="23">
        <v>0.11432442028336989</v>
      </c>
      <c r="J150" s="24">
        <v>6.4250612811362256E-3</v>
      </c>
    </row>
    <row r="151" spans="1:10">
      <c r="A151" s="5" t="s">
        <v>40</v>
      </c>
      <c r="B151" s="19">
        <v>3871.2662459145586</v>
      </c>
      <c r="C151" s="20">
        <v>935.79034837382881</v>
      </c>
      <c r="D151" s="20">
        <v>425.32826366538899</v>
      </c>
      <c r="E151" s="20">
        <v>43.17655420181481</v>
      </c>
      <c r="F151" s="21">
        <v>5275.5614121555918</v>
      </c>
      <c r="G151" s="22">
        <v>0.73381123703624196</v>
      </c>
      <c r="H151" s="23">
        <v>0.17738213533400332</v>
      </c>
      <c r="I151" s="23">
        <v>8.0622369912209987E-2</v>
      </c>
      <c r="J151" s="24">
        <v>8.1842577175445849E-3</v>
      </c>
    </row>
    <row r="152" spans="1:10">
      <c r="A152" s="48" t="s">
        <v>41</v>
      </c>
      <c r="B152" s="49">
        <v>24990.426207006072</v>
      </c>
      <c r="C152" s="50">
        <v>5950.9316544297535</v>
      </c>
      <c r="D152" s="50">
        <v>9713.851982651533</v>
      </c>
      <c r="E152" s="50">
        <v>248.37482073474064</v>
      </c>
      <c r="F152" s="51">
        <v>40903.584664822098</v>
      </c>
      <c r="G152" s="52">
        <v>0.61095931840170326</v>
      </c>
      <c r="H152" s="53">
        <v>0.14548680031820471</v>
      </c>
      <c r="I152" s="53">
        <v>0.23748167947259743</v>
      </c>
      <c r="J152" s="54">
        <v>6.0722018074945878E-3</v>
      </c>
    </row>
    <row r="153" spans="1:10">
      <c r="A153" s="5" t="s">
        <v>42</v>
      </c>
      <c r="B153" s="19">
        <v>758.35496349143637</v>
      </c>
      <c r="C153" s="20">
        <v>5.8814860266991289</v>
      </c>
      <c r="D153" s="20">
        <v>20.99076447916498</v>
      </c>
      <c r="E153" s="20">
        <v>17812.866204839738</v>
      </c>
      <c r="F153" s="21">
        <v>18598.093418837037</v>
      </c>
      <c r="G153" s="22">
        <v>4.0775951943726567E-2</v>
      </c>
      <c r="H153" s="23">
        <v>3.1624134228415472E-4</v>
      </c>
      <c r="I153" s="23">
        <v>1.1286514163814519E-3</v>
      </c>
      <c r="J153" s="24">
        <v>0.95777915529760793</v>
      </c>
    </row>
    <row r="154" spans="1:10">
      <c r="A154" s="5" t="s">
        <v>43</v>
      </c>
      <c r="B154" s="19">
        <v>276.8443227464204</v>
      </c>
      <c r="C154" s="20">
        <v>48.292338666021358</v>
      </c>
      <c r="D154" s="20">
        <v>52.006340238672138</v>
      </c>
      <c r="E154" s="20">
        <v>7.672356818445679</v>
      </c>
      <c r="F154" s="21">
        <v>384.81535846955956</v>
      </c>
      <c r="G154" s="22">
        <v>0.71942118902803587</v>
      </c>
      <c r="H154" s="23">
        <v>0.12549483175017681</v>
      </c>
      <c r="I154" s="23">
        <v>0.1351462177744292</v>
      </c>
      <c r="J154" s="24">
        <v>1.9937761447358118E-2</v>
      </c>
    </row>
    <row r="155" spans="1:10">
      <c r="A155" s="5" t="s">
        <v>44</v>
      </c>
      <c r="B155" s="19">
        <v>878.40497481522141</v>
      </c>
      <c r="C155" s="20">
        <v>165.25782912484081</v>
      </c>
      <c r="D155" s="20">
        <v>176.29106212660878</v>
      </c>
      <c r="E155" s="20">
        <v>28.730726174609696</v>
      </c>
      <c r="F155" s="21">
        <v>1248.6845922412808</v>
      </c>
      <c r="G155" s="22">
        <v>0.70346425372203913</v>
      </c>
      <c r="H155" s="23">
        <v>0.13234553397364926</v>
      </c>
      <c r="I155" s="23">
        <v>0.14118141860802622</v>
      </c>
      <c r="J155" s="24">
        <v>2.3008793696285248E-2</v>
      </c>
    </row>
    <row r="156" spans="1:10">
      <c r="A156" s="5" t="s">
        <v>45</v>
      </c>
      <c r="B156" s="19">
        <v>155.63048711558659</v>
      </c>
      <c r="C156" s="20">
        <v>10.591981124334028</v>
      </c>
      <c r="D156" s="20">
        <v>13.419731597888543</v>
      </c>
      <c r="E156" s="20">
        <v>7.5658539255296464</v>
      </c>
      <c r="F156" s="21">
        <v>187.20805376333882</v>
      </c>
      <c r="G156" s="22">
        <v>0.83132367431333176</v>
      </c>
      <c r="H156" s="23">
        <v>5.6578661608885701E-2</v>
      </c>
      <c r="I156" s="23">
        <v>7.168351643061921E-2</v>
      </c>
      <c r="J156" s="24">
        <v>4.0414147647163223E-2</v>
      </c>
    </row>
    <row r="157" spans="1:10">
      <c r="A157" s="5" t="s">
        <v>46</v>
      </c>
      <c r="B157" s="19">
        <v>69.79180570235107</v>
      </c>
      <c r="C157" s="20">
        <v>6.2869834135972855</v>
      </c>
      <c r="D157" s="20">
        <v>7.4954176710711202</v>
      </c>
      <c r="E157" s="20">
        <v>4.3735305466545507</v>
      </c>
      <c r="F157" s="21">
        <v>87.947737333674027</v>
      </c>
      <c r="G157" s="22">
        <v>0.79355999162958235</v>
      </c>
      <c r="H157" s="23">
        <v>7.1485448110443689E-2</v>
      </c>
      <c r="I157" s="23">
        <v>8.5225815902841007E-2</v>
      </c>
      <c r="J157" s="24">
        <v>4.9728744357132919E-2</v>
      </c>
    </row>
    <row r="158" spans="1:10" ht="15.75" thickBot="1">
      <c r="A158" s="55" t="s">
        <v>47</v>
      </c>
      <c r="B158" s="56">
        <v>1163.4654218191711</v>
      </c>
      <c r="C158" s="57">
        <v>354.108404212658</v>
      </c>
      <c r="D158" s="57">
        <v>365.97895696464457</v>
      </c>
      <c r="E158" s="57">
        <v>34.317323665975977</v>
      </c>
      <c r="F158" s="58">
        <v>1917.8701066624494</v>
      </c>
      <c r="G158" s="59">
        <v>0.60664453644562921</v>
      </c>
      <c r="H158" s="60">
        <v>0.18463628114465527</v>
      </c>
      <c r="I158" s="60">
        <v>0.1908257267753837</v>
      </c>
      <c r="J158" s="61">
        <v>1.7893455634331926E-2</v>
      </c>
    </row>
    <row r="159" spans="1:10">
      <c r="A159" s="66"/>
      <c r="B159" s="20"/>
      <c r="C159" s="20"/>
      <c r="D159" s="20"/>
      <c r="E159" s="20"/>
      <c r="F159" s="20"/>
      <c r="G159" s="23"/>
      <c r="H159" s="23"/>
      <c r="I159" s="23"/>
      <c r="J159" s="23"/>
    </row>
    <row r="160" spans="1:10" ht="16.5" thickBot="1">
      <c r="A160" s="12" t="s">
        <v>52</v>
      </c>
      <c r="B160" s="20"/>
      <c r="C160" s="20"/>
      <c r="D160" s="20"/>
      <c r="E160" s="20"/>
      <c r="F160" s="20"/>
      <c r="G160" s="23"/>
      <c r="H160" s="23"/>
      <c r="I160" s="23"/>
      <c r="J160" s="23"/>
    </row>
    <row r="161" spans="1:10" ht="34.5">
      <c r="A161" s="67"/>
      <c r="B161" s="68" t="s">
        <v>53</v>
      </c>
      <c r="C161" s="68" t="s">
        <v>54</v>
      </c>
      <c r="D161" s="68" t="s">
        <v>55</v>
      </c>
      <c r="E161" s="68" t="s">
        <v>56</v>
      </c>
      <c r="F161" s="68" t="s">
        <v>57</v>
      </c>
      <c r="G161" s="69" t="s">
        <v>58</v>
      </c>
      <c r="H161" s="23"/>
      <c r="I161" s="23"/>
      <c r="J161" s="23"/>
    </row>
    <row r="162" spans="1:10">
      <c r="A162" s="70" t="s">
        <v>59</v>
      </c>
      <c r="B162" s="71">
        <v>160000</v>
      </c>
      <c r="C162" s="71">
        <v>160000</v>
      </c>
      <c r="D162" s="71">
        <v>160000</v>
      </c>
      <c r="E162" s="71">
        <v>160000</v>
      </c>
      <c r="F162" s="71">
        <v>160000</v>
      </c>
      <c r="G162" s="72">
        <v>160000</v>
      </c>
      <c r="H162" s="11"/>
      <c r="I162" s="11"/>
      <c r="J162" s="11"/>
    </row>
    <row r="163" spans="1:10">
      <c r="A163" s="73" t="s">
        <v>60</v>
      </c>
      <c r="B163" s="74">
        <v>627.0948886709474</v>
      </c>
      <c r="C163" s="74">
        <v>614.87753215642874</v>
      </c>
      <c r="D163" s="74">
        <v>637.54957780938491</v>
      </c>
      <c r="E163" s="74">
        <v>663.2247489397796</v>
      </c>
      <c r="F163" s="74">
        <v>783.31598295281401</v>
      </c>
      <c r="G163" s="75">
        <v>790.96012977784983</v>
      </c>
      <c r="H163" s="11"/>
      <c r="I163" s="11"/>
      <c r="J163" s="11"/>
    </row>
    <row r="164" spans="1:10">
      <c r="A164" s="73" t="s">
        <v>61</v>
      </c>
      <c r="B164" s="74">
        <v>585.47125720526162</v>
      </c>
      <c r="C164" s="74">
        <v>567.72074746207204</v>
      </c>
      <c r="D164" s="74">
        <v>591.5007723777519</v>
      </c>
      <c r="E164" s="74">
        <v>611.55754769459304</v>
      </c>
      <c r="F164" s="74">
        <v>722.01806918577233</v>
      </c>
      <c r="G164" s="75">
        <v>727.27929883109744</v>
      </c>
      <c r="H164" s="11"/>
      <c r="I164" s="11"/>
      <c r="J164" s="11"/>
    </row>
    <row r="165" spans="1:10">
      <c r="A165" s="73" t="s">
        <v>29</v>
      </c>
      <c r="B165" s="74">
        <v>222.5752963635029</v>
      </c>
      <c r="C165" s="74">
        <v>163.83291683133396</v>
      </c>
      <c r="D165" s="74">
        <v>234.16047384347209</v>
      </c>
      <c r="E165" s="74">
        <v>189.56004405537487</v>
      </c>
      <c r="F165" s="74">
        <v>263.14861672068366</v>
      </c>
      <c r="G165" s="75">
        <v>217.50128610757338</v>
      </c>
      <c r="H165" s="11"/>
      <c r="I165" s="11"/>
      <c r="J165" s="11"/>
    </row>
    <row r="166" spans="1:10">
      <c r="A166" s="73" t="s">
        <v>62</v>
      </c>
      <c r="B166" s="74">
        <v>241.26752719547238</v>
      </c>
      <c r="C166" s="74">
        <v>224.44304731053973</v>
      </c>
      <c r="D166" s="74">
        <v>241.26046616664692</v>
      </c>
      <c r="E166" s="74">
        <v>239.57636288757868</v>
      </c>
      <c r="F166" s="74">
        <v>305.60781070135118</v>
      </c>
      <c r="G166" s="75">
        <v>296.03904220128584</v>
      </c>
      <c r="H166" s="11"/>
      <c r="I166" s="11"/>
      <c r="J166" s="11"/>
    </row>
    <row r="167" spans="1:10">
      <c r="A167" s="73" t="s">
        <v>31</v>
      </c>
      <c r="B167" s="74">
        <v>121.62843364628633</v>
      </c>
      <c r="C167" s="74">
        <v>179.44478332019838</v>
      </c>
      <c r="D167" s="74">
        <v>116.07983236763286</v>
      </c>
      <c r="E167" s="74">
        <v>182.42114075163948</v>
      </c>
      <c r="F167" s="74">
        <v>153.26164176373749</v>
      </c>
      <c r="G167" s="75">
        <v>213.73897052223819</v>
      </c>
      <c r="H167" s="11"/>
      <c r="I167" s="11"/>
      <c r="J167" s="11"/>
    </row>
    <row r="168" spans="1:10">
      <c r="A168" s="73" t="s">
        <v>32</v>
      </c>
      <c r="B168" s="74">
        <v>46.38925620531132</v>
      </c>
      <c r="C168" s="74">
        <v>45.193131113484938</v>
      </c>
      <c r="D168" s="74">
        <v>48.608916760572754</v>
      </c>
      <c r="E168" s="74">
        <v>49.313878356037627</v>
      </c>
      <c r="F168" s="74">
        <v>60.611738202092369</v>
      </c>
      <c r="G168" s="75">
        <v>59.495172060635049</v>
      </c>
      <c r="H168" s="11"/>
      <c r="I168" s="11"/>
      <c r="J168" s="11"/>
    </row>
    <row r="169" spans="1:10">
      <c r="A169" s="76" t="s">
        <v>63</v>
      </c>
      <c r="B169" s="74">
        <v>46.67183385957857</v>
      </c>
      <c r="C169" s="74">
        <v>45.298350374973289</v>
      </c>
      <c r="D169" s="74">
        <v>48.864153131717011</v>
      </c>
      <c r="E169" s="74">
        <v>49.424741401775471</v>
      </c>
      <c r="F169" s="74">
        <v>60.857668812998213</v>
      </c>
      <c r="G169" s="75">
        <v>59.596209368088807</v>
      </c>
      <c r="H169" s="11"/>
      <c r="I169" s="11"/>
      <c r="J169" s="11"/>
    </row>
    <row r="170" spans="1:10">
      <c r="A170" s="73" t="s">
        <v>33</v>
      </c>
      <c r="B170" s="77">
        <v>8.1489710565138831E-2</v>
      </c>
      <c r="C170" s="77">
        <v>7.6100927044911101E-2</v>
      </c>
      <c r="D170" s="77">
        <v>8.1995877917555707E-2</v>
      </c>
      <c r="E170" s="77">
        <v>8.2018104460106558E-2</v>
      </c>
      <c r="F170" s="77">
        <v>0.10046888672380212</v>
      </c>
      <c r="G170" s="78">
        <v>9.850688899968256E-2</v>
      </c>
      <c r="H170" s="11"/>
      <c r="I170" s="11"/>
      <c r="J170" s="11"/>
    </row>
    <row r="171" spans="1:10">
      <c r="A171" s="73" t="s">
        <v>34</v>
      </c>
      <c r="B171" s="77">
        <v>5.2412841879175681E-4</v>
      </c>
      <c r="C171" s="77">
        <v>5.0682079318622542E-4</v>
      </c>
      <c r="D171" s="77">
        <v>5.5982180987467259E-4</v>
      </c>
      <c r="E171" s="77">
        <v>5.5966666374505209E-4</v>
      </c>
      <c r="F171" s="77">
        <v>6.9808034445536593E-4</v>
      </c>
      <c r="G171" s="78">
        <v>6.7813499690430688E-4</v>
      </c>
      <c r="H171" s="11"/>
      <c r="I171" s="11"/>
      <c r="J171" s="11"/>
    </row>
    <row r="172" spans="1:10">
      <c r="A172" s="73" t="s">
        <v>35</v>
      </c>
      <c r="B172" s="74">
        <v>48.86526689250698</v>
      </c>
      <c r="C172" s="74">
        <v>47.351906147465563</v>
      </c>
      <c r="D172" s="74">
        <v>51.080876978998553</v>
      </c>
      <c r="E172" s="74">
        <v>51.64197467907416</v>
      </c>
      <c r="F172" s="74">
        <v>63.577418923740964</v>
      </c>
      <c r="G172" s="75">
        <v>62.260965822158362</v>
      </c>
      <c r="H172" s="11"/>
      <c r="I172" s="11"/>
      <c r="J172" s="11"/>
    </row>
    <row r="173" spans="1:10">
      <c r="A173" s="6" t="s">
        <v>36</v>
      </c>
      <c r="B173" s="77">
        <v>0.20631026309955347</v>
      </c>
      <c r="C173" s="77">
        <v>0.20508670456356168</v>
      </c>
      <c r="D173" s="77">
        <v>0.20558162920670439</v>
      </c>
      <c r="E173" s="77">
        <v>0.20520242923992582</v>
      </c>
      <c r="F173" s="77">
        <v>0.20499650449423071</v>
      </c>
      <c r="G173" s="78">
        <v>0.20463503085711973</v>
      </c>
      <c r="H173" s="11"/>
      <c r="I173" s="11"/>
      <c r="J173" s="11"/>
    </row>
    <row r="174" spans="1:10">
      <c r="A174" s="6" t="s">
        <v>37</v>
      </c>
      <c r="B174" s="77">
        <v>0.24933322435344954</v>
      </c>
      <c r="C174" s="77">
        <v>9.2840524842660144E-2</v>
      </c>
      <c r="D174" s="77">
        <v>0.2252085627743465</v>
      </c>
      <c r="E174" s="77">
        <v>9.7820334474573195E-2</v>
      </c>
      <c r="F174" s="77">
        <v>0.21699759785811479</v>
      </c>
      <c r="G174" s="78">
        <v>8.915056540038481E-2</v>
      </c>
      <c r="H174" s="11"/>
      <c r="I174" s="11"/>
      <c r="J174" s="11"/>
    </row>
    <row r="175" spans="1:10">
      <c r="A175" s="6" t="s">
        <v>38</v>
      </c>
      <c r="B175" s="77">
        <v>7.392468465769611E-2</v>
      </c>
      <c r="C175" s="77">
        <v>7.8839611579918464E-2</v>
      </c>
      <c r="D175" s="77">
        <v>7.5655592540098113E-2</v>
      </c>
      <c r="E175" s="77">
        <v>8.3385686697934336E-2</v>
      </c>
      <c r="F175" s="77">
        <v>9.1982910413264465E-2</v>
      </c>
      <c r="G175" s="78">
        <v>9.7646016502825297E-2</v>
      </c>
      <c r="H175" s="11"/>
      <c r="I175" s="11"/>
      <c r="J175" s="11"/>
    </row>
    <row r="176" spans="1:10">
      <c r="A176" s="6" t="s">
        <v>39</v>
      </c>
      <c r="B176" s="77">
        <v>8.1693332944926395E-2</v>
      </c>
      <c r="C176" s="77">
        <v>6.6017336322493209E-2</v>
      </c>
      <c r="D176" s="77">
        <v>7.9752302906153219E-2</v>
      </c>
      <c r="E176" s="77">
        <v>7.0555345414162821E-2</v>
      </c>
      <c r="F176" s="77">
        <v>9.1571078390562291E-2</v>
      </c>
      <c r="G176" s="78">
        <v>8.0730504880110035E-2</v>
      </c>
      <c r="H176" s="11"/>
      <c r="I176" s="11"/>
      <c r="J176" s="11"/>
    </row>
    <row r="177" spans="1:10">
      <c r="A177" s="6" t="s">
        <v>40</v>
      </c>
      <c r="B177" s="77">
        <v>3.2508501170712037E-2</v>
      </c>
      <c r="C177" s="77">
        <v>2.753842301624751E-2</v>
      </c>
      <c r="D177" s="77">
        <v>3.1001787394078422E-2</v>
      </c>
      <c r="E177" s="77">
        <v>2.8752508349814281E-2</v>
      </c>
      <c r="F177" s="77">
        <v>3.6048218227202618E-2</v>
      </c>
      <c r="G177" s="78">
        <v>3.2972258825972448E-2</v>
      </c>
      <c r="H177" s="11"/>
      <c r="I177" s="11"/>
      <c r="J177" s="11"/>
    </row>
    <row r="178" spans="1:10">
      <c r="A178" s="6" t="s">
        <v>41</v>
      </c>
      <c r="B178" s="77">
        <v>0.1349413938326969</v>
      </c>
      <c r="C178" s="77">
        <v>0.14554781973409645</v>
      </c>
      <c r="D178" s="77">
        <v>0.22519896977766143</v>
      </c>
      <c r="E178" s="77">
        <v>0.210118610425306</v>
      </c>
      <c r="F178" s="77">
        <v>0.28268643754984452</v>
      </c>
      <c r="G178" s="78">
        <v>0.25564740415513809</v>
      </c>
      <c r="H178" s="11"/>
      <c r="I178" s="11"/>
      <c r="J178" s="11"/>
    </row>
    <row r="179" spans="1:10">
      <c r="A179" s="6" t="s">
        <v>42</v>
      </c>
      <c r="B179" s="77">
        <v>0.11355391292760758</v>
      </c>
      <c r="C179" s="77">
        <v>0.11497116963417996</v>
      </c>
      <c r="D179" s="77">
        <v>0.11347990737763709</v>
      </c>
      <c r="E179" s="77">
        <v>0.11508927826041393</v>
      </c>
      <c r="F179" s="77">
        <v>0.11476938907475914</v>
      </c>
      <c r="G179" s="78">
        <v>0.11623808386773149</v>
      </c>
      <c r="H179" s="11"/>
      <c r="I179" s="11"/>
      <c r="J179" s="11"/>
    </row>
    <row r="180" spans="1:10">
      <c r="A180" s="6" t="s">
        <v>43</v>
      </c>
      <c r="B180" s="77">
        <v>1.8586471753403873E-3</v>
      </c>
      <c r="C180" s="77">
        <v>2.0692130630900378E-3</v>
      </c>
      <c r="D180" s="77">
        <v>2.0142725669367203E-3</v>
      </c>
      <c r="E180" s="77">
        <v>2.2357569316234448E-3</v>
      </c>
      <c r="F180" s="77">
        <v>2.2612742665332609E-3</v>
      </c>
      <c r="G180" s="78">
        <v>2.4050959904347471E-3</v>
      </c>
      <c r="H180" s="11"/>
      <c r="I180" s="11"/>
      <c r="J180" s="11"/>
    </row>
    <row r="181" spans="1:10">
      <c r="A181" s="6" t="s">
        <v>44</v>
      </c>
      <c r="B181" s="77">
        <v>7.1096181080890671E-3</v>
      </c>
      <c r="C181" s="77">
        <v>7.7026637319370294E-3</v>
      </c>
      <c r="D181" s="77">
        <v>7.5257691950655452E-3</v>
      </c>
      <c r="E181" s="77">
        <v>8.1450630145329037E-3</v>
      </c>
      <c r="F181" s="77">
        <v>7.4456301005018915E-3</v>
      </c>
      <c r="G181" s="78">
        <v>7.8042787015080049E-3</v>
      </c>
      <c r="H181" s="11"/>
      <c r="I181" s="11"/>
      <c r="J181" s="11"/>
    </row>
    <row r="182" spans="1:10">
      <c r="A182" s="6" t="s">
        <v>45</v>
      </c>
      <c r="B182" s="77">
        <v>1.5075985896948999E-3</v>
      </c>
      <c r="C182" s="77">
        <v>1.7385050832340767E-3</v>
      </c>
      <c r="D182" s="77">
        <v>1.43837180923326E-3</v>
      </c>
      <c r="E182" s="77">
        <v>1.6964166097495916E-3</v>
      </c>
      <c r="F182" s="77">
        <v>9.4711293037004062E-4</v>
      </c>
      <c r="G182" s="78">
        <v>1.1700503360208676E-3</v>
      </c>
      <c r="H182" s="11"/>
      <c r="I182" s="11"/>
      <c r="J182" s="11"/>
    </row>
    <row r="183" spans="1:10">
      <c r="A183" s="6" t="s">
        <v>46</v>
      </c>
      <c r="B183" s="77">
        <v>9.1161016273857726E-4</v>
      </c>
      <c r="C183" s="77">
        <v>1.0043890949474851E-3</v>
      </c>
      <c r="D183" s="77">
        <v>8.645072554549309E-4</v>
      </c>
      <c r="E183" s="77">
        <v>9.6760252427387813E-4</v>
      </c>
      <c r="F183" s="77">
        <v>4.6310343027601347E-4</v>
      </c>
      <c r="G183" s="78">
        <v>5.4967335833546263E-4</v>
      </c>
      <c r="H183" s="11"/>
      <c r="I183" s="11"/>
      <c r="J183" s="11"/>
    </row>
    <row r="184" spans="1:10" ht="15.75" thickBot="1">
      <c r="A184" s="7" t="s">
        <v>47</v>
      </c>
      <c r="B184" s="79">
        <v>1.1828388486830486E-2</v>
      </c>
      <c r="C184" s="79">
        <v>1.1882460617186121E-2</v>
      </c>
      <c r="D184" s="79">
        <v>1.2973699885345065E-2</v>
      </c>
      <c r="E184" s="79">
        <v>1.2849934291576404E-2</v>
      </c>
      <c r="F184" s="79">
        <v>1.2567271343817842E-2</v>
      </c>
      <c r="G184" s="80">
        <v>1.1986688166640308E-2</v>
      </c>
      <c r="H184" s="11"/>
      <c r="I184" s="11"/>
      <c r="J184" s="11"/>
    </row>
    <row r="185" spans="1:10">
      <c r="A185" s="81"/>
      <c r="B185" s="82"/>
      <c r="C185" s="82"/>
      <c r="D185" s="82"/>
      <c r="E185" s="82"/>
      <c r="F185" s="83"/>
      <c r="G185" s="83"/>
      <c r="H185" s="11"/>
      <c r="I185" s="11"/>
      <c r="J185" s="11"/>
    </row>
    <row r="186" spans="1:10">
      <c r="A186" s="11"/>
      <c r="B186" s="11"/>
      <c r="C186" s="11"/>
      <c r="D186" s="11"/>
      <c r="E186" s="11"/>
      <c r="F186" s="11"/>
      <c r="G186" s="11"/>
      <c r="H186" s="11"/>
      <c r="I186" s="11"/>
      <c r="J186" s="11"/>
    </row>
    <row r="187" spans="1:10">
      <c r="A187" s="11"/>
      <c r="B187" s="11"/>
      <c r="C187" s="11"/>
      <c r="D187" s="11"/>
      <c r="E187" s="11"/>
      <c r="F187" s="11"/>
      <c r="G187" s="11"/>
      <c r="H187" s="11"/>
      <c r="I187" s="11"/>
      <c r="J187" s="11"/>
    </row>
    <row r="188" spans="1:10">
      <c r="A188" s="11"/>
      <c r="B188" s="11"/>
      <c r="C188" s="11"/>
      <c r="D188" s="11"/>
      <c r="E188" s="11"/>
      <c r="F188" s="11"/>
      <c r="G188" s="11"/>
      <c r="H188" s="11"/>
      <c r="I188" s="11"/>
      <c r="J188" s="11"/>
    </row>
    <row r="189" spans="1:10">
      <c r="A189" s="11"/>
      <c r="B189" s="11"/>
      <c r="C189" s="11"/>
      <c r="D189" s="11"/>
      <c r="E189" s="11"/>
      <c r="F189" s="11"/>
      <c r="G189" s="11"/>
      <c r="H189" s="11"/>
      <c r="I189" s="11"/>
      <c r="J189" s="11"/>
    </row>
    <row r="190" spans="1:10">
      <c r="A190" s="11"/>
      <c r="B190" s="11"/>
      <c r="C190" s="11"/>
      <c r="D190" s="11"/>
      <c r="E190" s="11"/>
      <c r="F190" s="11"/>
      <c r="G190" s="11"/>
      <c r="H190" s="11"/>
      <c r="I190" s="11"/>
      <c r="J190" s="11"/>
    </row>
  </sheetData>
  <mergeCells count="12">
    <mergeCell ref="B5:F5"/>
    <mergeCell ref="G5:J5"/>
    <mergeCell ref="B31:F31"/>
    <mergeCell ref="G31:J31"/>
    <mergeCell ref="B57:F57"/>
    <mergeCell ref="G57:J57"/>
    <mergeCell ref="B83:F83"/>
    <mergeCell ref="G83:J83"/>
    <mergeCell ref="B109:F109"/>
    <mergeCell ref="G109:J109"/>
    <mergeCell ref="B135:F135"/>
    <mergeCell ref="G135:J135"/>
  </mergeCells>
  <pageMargins left="0.75" right="0.75" top="1" bottom="1" header="0.5" footer="0.5"/>
  <pageSetup orientation="portrait" horizontalDpi="4294967292" verticalDpi="4294967292"/>
</worksheet>
</file>

<file path=xl/worksheets/sheet25.xml><?xml version="1.0" encoding="utf-8"?>
<worksheet xmlns="http://schemas.openxmlformats.org/spreadsheetml/2006/main" xmlns:r="http://schemas.openxmlformats.org/officeDocument/2006/relationships">
  <dimension ref="A1:B37"/>
  <sheetViews>
    <sheetView showGridLines="0" workbookViewId="0">
      <selection activeCell="A17" sqref="A17:B17"/>
    </sheetView>
  </sheetViews>
  <sheetFormatPr defaultColWidth="8.85546875" defaultRowHeight="12.75"/>
  <cols>
    <col min="1" max="1" width="62.7109375" style="295" customWidth="1"/>
    <col min="2" max="2" width="25.7109375" style="295" customWidth="1"/>
    <col min="3" max="16384" width="8.85546875" style="295"/>
  </cols>
  <sheetData>
    <row r="1" spans="1:2" ht="15.75">
      <c r="A1" s="322" t="s">
        <v>31</v>
      </c>
    </row>
    <row r="2" spans="1:2" ht="13.5" thickBot="1"/>
    <row r="3" spans="1:2" ht="16.5" thickBot="1">
      <c r="A3" s="563" t="s">
        <v>2309</v>
      </c>
      <c r="B3" s="565"/>
    </row>
    <row r="4" spans="1:2" ht="13.5" thickBot="1">
      <c r="A4" s="566" t="s">
        <v>2292</v>
      </c>
      <c r="B4" s="567"/>
    </row>
    <row r="5" spans="1:2">
      <c r="A5" s="568" t="s">
        <v>2302</v>
      </c>
      <c r="B5" s="569"/>
    </row>
    <row r="6" spans="1:2">
      <c r="A6" s="568" t="s">
        <v>2301</v>
      </c>
      <c r="B6" s="569"/>
    </row>
    <row r="7" spans="1:2" ht="13.5" thickBot="1">
      <c r="A7" s="570" t="s">
        <v>2300</v>
      </c>
      <c r="B7" s="571"/>
    </row>
    <row r="8" spans="1:2" ht="13.5" thickBot="1">
      <c r="A8" s="566" t="s">
        <v>2290</v>
      </c>
      <c r="B8" s="567"/>
    </row>
    <row r="9" spans="1:2">
      <c r="A9" s="328" t="s">
        <v>2308</v>
      </c>
      <c r="B9" s="327">
        <v>2.2999999999999998</v>
      </c>
    </row>
    <row r="10" spans="1:2">
      <c r="A10" s="326" t="s">
        <v>2307</v>
      </c>
      <c r="B10" s="325">
        <v>25.5</v>
      </c>
    </row>
    <row r="11" spans="1:2">
      <c r="A11" s="326" t="s">
        <v>2306</v>
      </c>
      <c r="B11" s="325" t="s">
        <v>219</v>
      </c>
    </row>
    <row r="12" spans="1:2">
      <c r="A12" s="328" t="s">
        <v>2305</v>
      </c>
      <c r="B12" s="327">
        <v>100</v>
      </c>
    </row>
    <row r="13" spans="1:2">
      <c r="A13" s="328" t="s">
        <v>2304</v>
      </c>
      <c r="B13" s="327">
        <v>0</v>
      </c>
    </row>
    <row r="14" spans="1:2" ht="13.5" thickBot="1">
      <c r="A14" s="321" t="s">
        <v>2303</v>
      </c>
      <c r="B14" s="320">
        <v>0</v>
      </c>
    </row>
    <row r="15" spans="1:2" ht="13.5" thickBot="1"/>
    <row r="16" spans="1:2" ht="16.5" thickBot="1">
      <c r="A16" s="563" t="s">
        <v>111</v>
      </c>
      <c r="B16" s="565"/>
    </row>
    <row r="17" spans="1:2" ht="13.5" thickBot="1">
      <c r="A17" s="566" t="s">
        <v>2292</v>
      </c>
      <c r="B17" s="567"/>
    </row>
    <row r="18" spans="1:2">
      <c r="A18" s="568" t="s">
        <v>2302</v>
      </c>
      <c r="B18" s="569"/>
    </row>
    <row r="19" spans="1:2">
      <c r="A19" s="568" t="s">
        <v>2301</v>
      </c>
      <c r="B19" s="569"/>
    </row>
    <row r="20" spans="1:2" ht="13.5" thickBot="1">
      <c r="A20" s="570" t="s">
        <v>2300</v>
      </c>
      <c r="B20" s="571"/>
    </row>
    <row r="21" spans="1:2" ht="13.5" thickBot="1">
      <c r="A21" s="566" t="s">
        <v>2290</v>
      </c>
      <c r="B21" s="567"/>
    </row>
    <row r="22" spans="1:2" ht="13.5" thickBot="1">
      <c r="A22" s="324" t="s">
        <v>2299</v>
      </c>
      <c r="B22" s="323">
        <v>25.5</v>
      </c>
    </row>
    <row r="23" spans="1:2" ht="13.5" thickBot="1"/>
    <row r="24" spans="1:2" ht="16.5" thickBot="1">
      <c r="A24" s="563" t="s">
        <v>2298</v>
      </c>
      <c r="B24" s="565"/>
    </row>
    <row r="25" spans="1:2" ht="13.5" thickBot="1">
      <c r="A25" s="566" t="s">
        <v>2292</v>
      </c>
      <c r="B25" s="567"/>
    </row>
    <row r="26" spans="1:2" ht="13.5" thickBot="1">
      <c r="A26" s="568" t="s">
        <v>2297</v>
      </c>
      <c r="B26" s="569"/>
    </row>
    <row r="27" spans="1:2" ht="13.5" thickBot="1">
      <c r="A27" s="566" t="s">
        <v>2290</v>
      </c>
      <c r="B27" s="567"/>
    </row>
    <row r="28" spans="1:2">
      <c r="A28" s="326" t="s">
        <v>2296</v>
      </c>
      <c r="B28" s="325">
        <v>11</v>
      </c>
    </row>
    <row r="29" spans="1:2" ht="13.5" thickBot="1">
      <c r="A29" s="324" t="s">
        <v>2295</v>
      </c>
      <c r="B29" s="323" t="s">
        <v>2294</v>
      </c>
    </row>
    <row r="31" spans="1:2" ht="15.75">
      <c r="A31" s="322" t="s">
        <v>30</v>
      </c>
    </row>
    <row r="32" spans="1:2" ht="13.5" thickBot="1"/>
    <row r="33" spans="1:2" ht="16.5" thickBot="1">
      <c r="A33" s="563" t="s">
        <v>2293</v>
      </c>
      <c r="B33" s="565"/>
    </row>
    <row r="34" spans="1:2" ht="13.5" thickBot="1">
      <c r="A34" s="566" t="s">
        <v>2292</v>
      </c>
      <c r="B34" s="567"/>
    </row>
    <row r="35" spans="1:2" ht="13.5" thickBot="1">
      <c r="A35" s="568" t="s">
        <v>2291</v>
      </c>
      <c r="B35" s="569"/>
    </row>
    <row r="36" spans="1:2" ht="13.5" thickBot="1">
      <c r="A36" s="566" t="s">
        <v>2290</v>
      </c>
      <c r="B36" s="567"/>
    </row>
    <row r="37" spans="1:2" ht="13.5" thickBot="1">
      <c r="A37" s="321" t="s">
        <v>2289</v>
      </c>
      <c r="B37" s="320" t="s">
        <v>2288</v>
      </c>
    </row>
  </sheetData>
  <mergeCells count="20">
    <mergeCell ref="A16:B16"/>
    <mergeCell ref="A17:B17"/>
    <mergeCell ref="A36:B36"/>
    <mergeCell ref="A27:B27"/>
    <mergeCell ref="A35:B35"/>
    <mergeCell ref="A33:B33"/>
    <mergeCell ref="A34:B34"/>
    <mergeCell ref="A21:B21"/>
    <mergeCell ref="A26:B26"/>
    <mergeCell ref="A24:B24"/>
    <mergeCell ref="A25:B25"/>
    <mergeCell ref="A18:B18"/>
    <mergeCell ref="A19:B19"/>
    <mergeCell ref="A20:B20"/>
    <mergeCell ref="A8:B8"/>
    <mergeCell ref="A5:B5"/>
    <mergeCell ref="A6:B6"/>
    <mergeCell ref="A7:B7"/>
    <mergeCell ref="A3:B3"/>
    <mergeCell ref="A4:B4"/>
  </mergeCells>
  <pageMargins left="0.75" right="0.75" top="1" bottom="1" header="0.5" footer="0.5"/>
</worksheet>
</file>

<file path=xl/worksheets/sheet26.xml><?xml version="1.0" encoding="utf-8"?>
<worksheet xmlns="http://schemas.openxmlformats.org/spreadsheetml/2006/main" xmlns:r="http://schemas.openxmlformats.org/officeDocument/2006/relationships">
  <dimension ref="A1:B59"/>
  <sheetViews>
    <sheetView showGridLines="0" workbookViewId="0">
      <selection activeCell="A17" sqref="A17:B17"/>
    </sheetView>
  </sheetViews>
  <sheetFormatPr defaultColWidth="8.85546875" defaultRowHeight="12.75"/>
  <cols>
    <col min="1" max="1" width="62.7109375" style="295" customWidth="1"/>
    <col min="2" max="2" width="25.7109375" style="295" customWidth="1"/>
    <col min="3" max="16384" width="8.85546875" style="295"/>
  </cols>
  <sheetData>
    <row r="1" spans="1:2" ht="16.5" thickBot="1">
      <c r="A1" s="563" t="s">
        <v>219</v>
      </c>
      <c r="B1" s="565"/>
    </row>
    <row r="2" spans="1:2" ht="13.5" thickBot="1">
      <c r="A2" s="566" t="s">
        <v>2292</v>
      </c>
      <c r="B2" s="567"/>
    </row>
    <row r="3" spans="1:2">
      <c r="A3" s="568" t="s">
        <v>2349</v>
      </c>
      <c r="B3" s="569"/>
    </row>
    <row r="4" spans="1:2">
      <c r="A4" s="568" t="s">
        <v>2348</v>
      </c>
      <c r="B4" s="569"/>
    </row>
    <row r="5" spans="1:2" ht="13.5" thickBot="1">
      <c r="A5" s="570" t="s">
        <v>2347</v>
      </c>
      <c r="B5" s="571"/>
    </row>
    <row r="6" spans="1:2" ht="13.5" thickBot="1">
      <c r="A6" s="566" t="s">
        <v>2290</v>
      </c>
      <c r="B6" s="567"/>
    </row>
    <row r="7" spans="1:2">
      <c r="A7" s="328" t="s">
        <v>2346</v>
      </c>
      <c r="B7" s="327">
        <v>88.6</v>
      </c>
    </row>
    <row r="8" spans="1:2">
      <c r="A8" s="326" t="s">
        <v>2345</v>
      </c>
      <c r="B8" s="325">
        <v>11.4</v>
      </c>
    </row>
    <row r="9" spans="1:2">
      <c r="A9" s="326" t="s">
        <v>2344</v>
      </c>
      <c r="B9" s="325">
        <v>92</v>
      </c>
    </row>
    <row r="10" spans="1:2">
      <c r="A10" s="328" t="s">
        <v>2343</v>
      </c>
      <c r="B10" s="327">
        <v>8</v>
      </c>
    </row>
    <row r="11" spans="1:2">
      <c r="A11" s="328" t="s">
        <v>2342</v>
      </c>
      <c r="B11" s="327">
        <v>72.5</v>
      </c>
    </row>
    <row r="12" spans="1:2">
      <c r="A12" s="326" t="s">
        <v>2341</v>
      </c>
      <c r="B12" s="325">
        <v>27.5</v>
      </c>
    </row>
    <row r="13" spans="1:2">
      <c r="A13" s="326" t="s">
        <v>2340</v>
      </c>
      <c r="B13" s="325" t="s">
        <v>2339</v>
      </c>
    </row>
    <row r="14" spans="1:2" ht="23.25" thickBot="1">
      <c r="A14" s="324" t="s">
        <v>2338</v>
      </c>
      <c r="B14" s="323" t="s">
        <v>2337</v>
      </c>
    </row>
    <row r="15" spans="1:2" ht="13.5" thickBot="1"/>
    <row r="16" spans="1:2" ht="16.5" thickBot="1">
      <c r="A16" s="563" t="s">
        <v>2209</v>
      </c>
      <c r="B16" s="565"/>
    </row>
    <row r="17" spans="1:2" ht="13.5" thickBot="1">
      <c r="A17" s="566" t="s">
        <v>2292</v>
      </c>
      <c r="B17" s="567"/>
    </row>
    <row r="18" spans="1:2" ht="13.5" thickBot="1">
      <c r="A18" s="568" t="s">
        <v>51</v>
      </c>
      <c r="B18" s="569"/>
    </row>
    <row r="19" spans="1:2" ht="13.5" thickBot="1">
      <c r="A19" s="566" t="s">
        <v>2290</v>
      </c>
      <c r="B19" s="567"/>
    </row>
    <row r="20" spans="1:2">
      <c r="A20" s="326" t="s">
        <v>2336</v>
      </c>
      <c r="B20" s="325">
        <v>46</v>
      </c>
    </row>
    <row r="21" spans="1:2">
      <c r="A21" s="328" t="s">
        <v>2335</v>
      </c>
      <c r="B21" s="327">
        <v>37</v>
      </c>
    </row>
    <row r="22" spans="1:2">
      <c r="A22" s="328" t="s">
        <v>2334</v>
      </c>
      <c r="B22" s="327">
        <v>1</v>
      </c>
    </row>
    <row r="23" spans="1:2" ht="22.5">
      <c r="A23" s="326" t="s">
        <v>2333</v>
      </c>
      <c r="B23" s="325">
        <v>1</v>
      </c>
    </row>
    <row r="24" spans="1:2">
      <c r="A24" s="326" t="s">
        <v>2332</v>
      </c>
      <c r="B24" s="325">
        <v>15</v>
      </c>
    </row>
    <row r="25" spans="1:2">
      <c r="A25" s="328" t="s">
        <v>2331</v>
      </c>
      <c r="B25" s="327">
        <v>85</v>
      </c>
    </row>
    <row r="26" spans="1:2">
      <c r="A26" s="328" t="s">
        <v>2330</v>
      </c>
      <c r="B26" s="327">
        <v>15</v>
      </c>
    </row>
    <row r="27" spans="1:2">
      <c r="A27" s="326" t="s">
        <v>2329</v>
      </c>
      <c r="B27" s="325">
        <v>85</v>
      </c>
    </row>
    <row r="28" spans="1:2">
      <c r="A28" s="326" t="s">
        <v>2328</v>
      </c>
      <c r="B28" s="325">
        <v>0</v>
      </c>
    </row>
    <row r="29" spans="1:2">
      <c r="A29" s="328" t="s">
        <v>2327</v>
      </c>
      <c r="B29" s="327">
        <v>100</v>
      </c>
    </row>
    <row r="30" spans="1:2" ht="22.5">
      <c r="A30" s="328" t="s">
        <v>2326</v>
      </c>
      <c r="B30" s="327" t="s">
        <v>2323</v>
      </c>
    </row>
    <row r="31" spans="1:2" ht="22.5">
      <c r="A31" s="326" t="s">
        <v>2325</v>
      </c>
      <c r="B31" s="325" t="s">
        <v>2323</v>
      </c>
    </row>
    <row r="32" spans="1:2" ht="23.25" thickBot="1">
      <c r="A32" s="321" t="s">
        <v>2324</v>
      </c>
      <c r="B32" s="320" t="s">
        <v>2323</v>
      </c>
    </row>
    <row r="33" spans="1:2" ht="13.5" thickBot="1"/>
    <row r="34" spans="1:2" ht="16.5" thickBot="1">
      <c r="A34" s="331" t="s">
        <v>2322</v>
      </c>
    </row>
    <row r="35" spans="1:2" ht="13.5" thickBot="1">
      <c r="A35" s="330" t="s">
        <v>2292</v>
      </c>
    </row>
    <row r="36" spans="1:2" ht="13.5" thickBot="1">
      <c r="A36" s="321" t="s">
        <v>2297</v>
      </c>
    </row>
    <row r="37" spans="1:2" ht="13.5" thickBot="1">
      <c r="A37" s="329" t="s">
        <v>2290</v>
      </c>
    </row>
    <row r="38" spans="1:2" ht="13.5" thickBot="1"/>
    <row r="39" spans="1:2" ht="16.5" thickBot="1">
      <c r="A39" s="563" t="s">
        <v>2321</v>
      </c>
      <c r="B39" s="565"/>
    </row>
    <row r="40" spans="1:2" ht="13.5" thickBot="1">
      <c r="A40" s="566" t="s">
        <v>2292</v>
      </c>
      <c r="B40" s="567"/>
    </row>
    <row r="41" spans="1:2" ht="13.5" thickBot="1">
      <c r="A41" s="568" t="s">
        <v>2320</v>
      </c>
      <c r="B41" s="569"/>
    </row>
    <row r="42" spans="1:2" ht="13.5" thickBot="1">
      <c r="A42" s="566" t="s">
        <v>2290</v>
      </c>
      <c r="B42" s="567"/>
    </row>
    <row r="43" spans="1:2" ht="13.5" thickBot="1">
      <c r="A43" s="321" t="s">
        <v>2319</v>
      </c>
      <c r="B43" s="320" t="s">
        <v>2318</v>
      </c>
    </row>
    <row r="44" spans="1:2" ht="13.5" thickBot="1"/>
    <row r="45" spans="1:2" ht="16.5" thickBot="1">
      <c r="A45" s="563" t="s">
        <v>2317</v>
      </c>
      <c r="B45" s="565"/>
    </row>
    <row r="46" spans="1:2">
      <c r="A46" s="326" t="s">
        <v>2315</v>
      </c>
      <c r="B46" s="325">
        <v>0.94</v>
      </c>
    </row>
    <row r="47" spans="1:2">
      <c r="A47" s="326" t="s">
        <v>2314</v>
      </c>
      <c r="B47" s="325">
        <v>21.46</v>
      </c>
    </row>
    <row r="48" spans="1:2">
      <c r="A48" s="328" t="s">
        <v>2313</v>
      </c>
      <c r="B48" s="327">
        <v>44.24</v>
      </c>
    </row>
    <row r="49" spans="1:2">
      <c r="A49" s="328" t="s">
        <v>2312</v>
      </c>
      <c r="B49" s="327">
        <v>21</v>
      </c>
    </row>
    <row r="50" spans="1:2">
      <c r="A50" s="326" t="s">
        <v>2311</v>
      </c>
      <c r="B50" s="325">
        <v>0.51</v>
      </c>
    </row>
    <row r="51" spans="1:2" ht="13.5" thickBot="1">
      <c r="A51" s="321" t="s">
        <v>2310</v>
      </c>
      <c r="B51" s="320">
        <v>11.85</v>
      </c>
    </row>
    <row r="52" spans="1:2" ht="13.5" thickBot="1"/>
    <row r="53" spans="1:2" ht="16.5" thickBot="1">
      <c r="A53" s="563" t="s">
        <v>2316</v>
      </c>
      <c r="B53" s="565"/>
    </row>
    <row r="54" spans="1:2">
      <c r="A54" s="326" t="s">
        <v>2315</v>
      </c>
      <c r="B54" s="325">
        <v>0.94</v>
      </c>
    </row>
    <row r="55" spans="1:2">
      <c r="A55" s="326" t="s">
        <v>2314</v>
      </c>
      <c r="B55" s="325">
        <v>21.46</v>
      </c>
    </row>
    <row r="56" spans="1:2">
      <c r="A56" s="328" t="s">
        <v>2313</v>
      </c>
      <c r="B56" s="327">
        <v>44.24</v>
      </c>
    </row>
    <row r="57" spans="1:2">
      <c r="A57" s="328" t="s">
        <v>2312</v>
      </c>
      <c r="B57" s="327">
        <v>21</v>
      </c>
    </row>
    <row r="58" spans="1:2">
      <c r="A58" s="326" t="s">
        <v>2311</v>
      </c>
      <c r="B58" s="325">
        <v>0.51</v>
      </c>
    </row>
    <row r="59" spans="1:2" ht="13.5" thickBot="1">
      <c r="A59" s="321" t="s">
        <v>2310</v>
      </c>
      <c r="B59" s="320">
        <v>11.85</v>
      </c>
    </row>
  </sheetData>
  <mergeCells count="16">
    <mergeCell ref="A42:B42"/>
    <mergeCell ref="A45:B45"/>
    <mergeCell ref="A53:B53"/>
    <mergeCell ref="A19:B19"/>
    <mergeCell ref="A41:B41"/>
    <mergeCell ref="A39:B39"/>
    <mergeCell ref="A40:B40"/>
    <mergeCell ref="A1:B1"/>
    <mergeCell ref="A2:B2"/>
    <mergeCell ref="A6:B6"/>
    <mergeCell ref="A18:B18"/>
    <mergeCell ref="A16:B16"/>
    <mergeCell ref="A17:B17"/>
    <mergeCell ref="A3:B3"/>
    <mergeCell ref="A4:B4"/>
    <mergeCell ref="A5:B5"/>
  </mergeCells>
  <pageMargins left="0.75" right="0.75" top="1" bottom="1" header="0.5" footer="0.5"/>
</worksheet>
</file>

<file path=xl/worksheets/sheet27.xml><?xml version="1.0" encoding="utf-8"?>
<worksheet xmlns="http://schemas.openxmlformats.org/spreadsheetml/2006/main" xmlns:r="http://schemas.openxmlformats.org/officeDocument/2006/relationships">
  <dimension ref="A1:B13"/>
  <sheetViews>
    <sheetView showGridLines="0" workbookViewId="0">
      <selection activeCell="A17" sqref="A17:B17"/>
    </sheetView>
  </sheetViews>
  <sheetFormatPr defaultColWidth="8.85546875" defaultRowHeight="12.75"/>
  <cols>
    <col min="1" max="1" width="80.7109375" style="295" customWidth="1"/>
    <col min="2" max="2" width="12.7109375" style="295" customWidth="1"/>
    <col min="3" max="16384" width="8.85546875" style="295"/>
  </cols>
  <sheetData>
    <row r="1" spans="1:2" ht="16.5" thickBot="1">
      <c r="A1" s="563" t="s">
        <v>2362</v>
      </c>
      <c r="B1" s="565"/>
    </row>
    <row r="2" spans="1:2">
      <c r="A2" s="326" t="s">
        <v>2361</v>
      </c>
      <c r="B2" s="325">
        <v>70</v>
      </c>
    </row>
    <row r="3" spans="1:2">
      <c r="A3" s="326" t="s">
        <v>2360</v>
      </c>
      <c r="B3" s="325">
        <v>30</v>
      </c>
    </row>
    <row r="4" spans="1:2">
      <c r="A4" s="328" t="s">
        <v>2359</v>
      </c>
      <c r="B4" s="327">
        <v>100</v>
      </c>
    </row>
    <row r="5" spans="1:2">
      <c r="A5" s="328" t="s">
        <v>2358</v>
      </c>
      <c r="B5" s="327">
        <v>0</v>
      </c>
    </row>
    <row r="6" spans="1:2">
      <c r="A6" s="326" t="s">
        <v>2357</v>
      </c>
      <c r="B6" s="325">
        <v>100</v>
      </c>
    </row>
    <row r="7" spans="1:2">
      <c r="A7" s="326" t="s">
        <v>2356</v>
      </c>
      <c r="B7" s="325">
        <v>100</v>
      </c>
    </row>
    <row r="8" spans="1:2">
      <c r="A8" s="328" t="s">
        <v>2355</v>
      </c>
      <c r="B8" s="327">
        <v>0</v>
      </c>
    </row>
    <row r="9" spans="1:2">
      <c r="A9" s="328" t="s">
        <v>2354</v>
      </c>
      <c r="B9" s="327">
        <v>1</v>
      </c>
    </row>
    <row r="10" spans="1:2">
      <c r="A10" s="326" t="s">
        <v>2353</v>
      </c>
      <c r="B10" s="325">
        <v>10</v>
      </c>
    </row>
    <row r="11" spans="1:2">
      <c r="A11" s="326" t="s">
        <v>2352</v>
      </c>
      <c r="B11" s="325">
        <v>20</v>
      </c>
    </row>
    <row r="12" spans="1:2">
      <c r="A12" s="328" t="s">
        <v>2351</v>
      </c>
      <c r="B12" s="327">
        <v>85</v>
      </c>
    </row>
    <row r="13" spans="1:2" ht="13.5" thickBot="1">
      <c r="A13" s="324" t="s">
        <v>2350</v>
      </c>
      <c r="B13" s="323">
        <v>10</v>
      </c>
    </row>
  </sheetData>
  <mergeCells count="1">
    <mergeCell ref="A1:B1"/>
  </mergeCells>
  <pageMargins left="0.75" right="0.75" top="1" bottom="1" header="0.5" footer="0.5"/>
</worksheet>
</file>

<file path=xl/worksheets/sheet28.xml><?xml version="1.0" encoding="utf-8"?>
<worksheet xmlns="http://schemas.openxmlformats.org/spreadsheetml/2006/main" xmlns:r="http://schemas.openxmlformats.org/officeDocument/2006/relationships">
  <dimension ref="A2:G28"/>
  <sheetViews>
    <sheetView showGridLines="0" workbookViewId="0">
      <selection activeCell="A17" sqref="A17:B17"/>
    </sheetView>
  </sheetViews>
  <sheetFormatPr defaultColWidth="8.85546875" defaultRowHeight="12.75"/>
  <cols>
    <col min="1" max="1" width="7.7109375" style="295" customWidth="1"/>
    <col min="2" max="3" width="17.7109375" style="295" customWidth="1"/>
    <col min="4" max="4" width="19.7109375" style="295" customWidth="1"/>
    <col min="5" max="5" width="17.7109375" style="295" customWidth="1"/>
    <col min="6" max="7" width="15.7109375" style="295" customWidth="1"/>
    <col min="8" max="16384" width="8.85546875" style="295"/>
  </cols>
  <sheetData>
    <row r="2" spans="1:3" ht="13.5" thickBot="1">
      <c r="A2" s="341" t="s">
        <v>2383</v>
      </c>
    </row>
    <row r="3" spans="1:3" ht="13.5" thickBot="1">
      <c r="A3" s="338" t="s">
        <v>102</v>
      </c>
      <c r="B3" s="337" t="s">
        <v>2382</v>
      </c>
      <c r="C3" s="337" t="s">
        <v>2381</v>
      </c>
    </row>
    <row r="4" spans="1:3" ht="13.5" thickBot="1">
      <c r="A4" s="334">
        <v>2015</v>
      </c>
      <c r="B4" s="332">
        <v>0.30000001192092896</v>
      </c>
      <c r="C4" s="332">
        <v>0.69999998807907104</v>
      </c>
    </row>
    <row r="8" spans="1:3" ht="13.5" thickBot="1">
      <c r="A8" s="341" t="s">
        <v>2380</v>
      </c>
    </row>
    <row r="9" spans="1:3" ht="13.5" thickBot="1">
      <c r="A9" s="338" t="s">
        <v>102</v>
      </c>
      <c r="B9" s="337" t="s">
        <v>2379</v>
      </c>
      <c r="C9" s="337" t="s">
        <v>2378</v>
      </c>
    </row>
    <row r="10" spans="1:3" ht="13.5" thickBot="1">
      <c r="A10" s="334">
        <v>2015</v>
      </c>
      <c r="B10" s="332">
        <v>1</v>
      </c>
      <c r="C10" s="332">
        <v>0</v>
      </c>
    </row>
    <row r="14" spans="1:3" ht="13.5" thickBot="1">
      <c r="A14" s="341" t="s">
        <v>2377</v>
      </c>
    </row>
    <row r="15" spans="1:3" ht="13.5" thickBot="1">
      <c r="A15" s="338" t="s">
        <v>102</v>
      </c>
      <c r="B15" s="337" t="s">
        <v>2376</v>
      </c>
      <c r="C15" s="337" t="s">
        <v>2375</v>
      </c>
    </row>
    <row r="16" spans="1:3" ht="13.5" thickBot="1">
      <c r="A16" s="334">
        <v>2015</v>
      </c>
      <c r="B16" s="332">
        <v>0</v>
      </c>
      <c r="C16" s="332">
        <v>1</v>
      </c>
    </row>
    <row r="20" spans="1:7" ht="13.5" thickBot="1">
      <c r="A20" s="341" t="s">
        <v>2374</v>
      </c>
      <c r="D20" s="340"/>
      <c r="E20" s="316"/>
    </row>
    <row r="21" spans="1:7" ht="13.5" thickBot="1">
      <c r="A21" s="338" t="s">
        <v>102</v>
      </c>
      <c r="B21" s="337" t="s">
        <v>2373</v>
      </c>
      <c r="C21" s="337" t="s">
        <v>2372</v>
      </c>
      <c r="D21" s="335" t="s">
        <v>2371</v>
      </c>
      <c r="E21" s="335" t="s">
        <v>2370</v>
      </c>
    </row>
    <row r="22" spans="1:7" ht="13.5" thickBot="1">
      <c r="A22" s="334">
        <v>2015</v>
      </c>
      <c r="B22" s="332">
        <v>1</v>
      </c>
      <c r="C22" s="332">
        <v>0</v>
      </c>
      <c r="D22" s="332">
        <v>0</v>
      </c>
      <c r="E22" s="332">
        <v>0</v>
      </c>
    </row>
    <row r="26" spans="1:7" ht="13.5" thickBot="1">
      <c r="A26" s="341" t="s">
        <v>2369</v>
      </c>
      <c r="D26" s="340"/>
      <c r="E26" s="316"/>
      <c r="F26" s="339"/>
      <c r="G26" s="316"/>
    </row>
    <row r="27" spans="1:7" ht="13.5" thickBot="1">
      <c r="A27" s="338" t="s">
        <v>102</v>
      </c>
      <c r="B27" s="337" t="s">
        <v>2368</v>
      </c>
      <c r="C27" s="337" t="s">
        <v>2367</v>
      </c>
      <c r="D27" s="335" t="s">
        <v>2366</v>
      </c>
      <c r="E27" s="335" t="s">
        <v>2365</v>
      </c>
      <c r="F27" s="336" t="s">
        <v>2364</v>
      </c>
      <c r="G27" s="335" t="s">
        <v>2363</v>
      </c>
    </row>
    <row r="28" spans="1:7" ht="13.5" thickBot="1">
      <c r="A28" s="334">
        <v>2015</v>
      </c>
      <c r="B28" s="332">
        <v>1</v>
      </c>
      <c r="C28" s="332">
        <v>0</v>
      </c>
      <c r="D28" s="332">
        <v>0</v>
      </c>
      <c r="E28" s="332">
        <v>0</v>
      </c>
      <c r="F28" s="333">
        <v>0</v>
      </c>
      <c r="G28" s="332">
        <v>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dimension ref="A1:B66"/>
  <sheetViews>
    <sheetView showGridLines="0" topLeftCell="A26" workbookViewId="0">
      <selection activeCell="A17" sqref="A17:B17"/>
    </sheetView>
  </sheetViews>
  <sheetFormatPr defaultColWidth="8.85546875" defaultRowHeight="12.75"/>
  <cols>
    <col min="1" max="1" width="60.7109375" style="295" customWidth="1"/>
    <col min="2" max="2" width="13.7109375" style="295" customWidth="1"/>
    <col min="3" max="16384" width="8.85546875" style="295"/>
  </cols>
  <sheetData>
    <row r="1" spans="1:2" ht="16.5" thickBot="1">
      <c r="A1" s="563" t="s">
        <v>31</v>
      </c>
      <c r="B1" s="565"/>
    </row>
    <row r="2" spans="1:2" ht="13.5" thickBot="1">
      <c r="A2" s="308" t="s">
        <v>2284</v>
      </c>
      <c r="B2" s="306" t="s">
        <v>2388</v>
      </c>
    </row>
    <row r="3" spans="1:2">
      <c r="A3" s="302" t="s">
        <v>2430</v>
      </c>
      <c r="B3" s="300">
        <v>9.8000000000000004E-2</v>
      </c>
    </row>
    <row r="4" spans="1:2">
      <c r="A4" s="302" t="s">
        <v>2429</v>
      </c>
      <c r="B4" s="300">
        <v>0.48</v>
      </c>
    </row>
    <row r="5" spans="1:2">
      <c r="A5" s="305" t="s">
        <v>2428</v>
      </c>
      <c r="B5" s="303">
        <v>0.98</v>
      </c>
    </row>
    <row r="6" spans="1:2">
      <c r="A6" s="305" t="s">
        <v>2427</v>
      </c>
      <c r="B6" s="303">
        <v>0.95</v>
      </c>
    </row>
    <row r="7" spans="1:2">
      <c r="A7" s="302" t="s">
        <v>2426</v>
      </c>
      <c r="B7" s="300">
        <v>0.98699999999999999</v>
      </c>
    </row>
    <row r="8" spans="1:2">
      <c r="A8" s="302" t="s">
        <v>2425</v>
      </c>
      <c r="B8" s="300">
        <v>0.85</v>
      </c>
    </row>
    <row r="9" spans="1:2">
      <c r="A9" s="305" t="s">
        <v>2424</v>
      </c>
      <c r="B9" s="303">
        <v>0.98699999999999999</v>
      </c>
    </row>
    <row r="10" spans="1:2">
      <c r="A10" s="305" t="s">
        <v>2423</v>
      </c>
      <c r="B10" s="303">
        <v>0.90600000000000003</v>
      </c>
    </row>
    <row r="11" spans="1:2">
      <c r="A11" s="302" t="s">
        <v>2422</v>
      </c>
      <c r="B11" s="300">
        <v>0.90600000000000003</v>
      </c>
    </row>
    <row r="12" spans="1:2" ht="13.5" thickBot="1">
      <c r="A12" s="345" t="s">
        <v>2421</v>
      </c>
      <c r="B12" s="344">
        <v>0.90600000000000003</v>
      </c>
    </row>
    <row r="14" spans="1:2" ht="13.5" thickBot="1"/>
    <row r="15" spans="1:2" ht="16.5" thickBot="1">
      <c r="A15" s="563" t="s">
        <v>30</v>
      </c>
      <c r="B15" s="565"/>
    </row>
    <row r="16" spans="1:2" ht="13.5" thickBot="1">
      <c r="A16" s="308" t="s">
        <v>2284</v>
      </c>
      <c r="B16" s="306" t="s">
        <v>2388</v>
      </c>
    </row>
    <row r="17" spans="1:2">
      <c r="A17" s="302" t="s">
        <v>2420</v>
      </c>
      <c r="B17" s="300">
        <v>0.32</v>
      </c>
    </row>
    <row r="18" spans="1:2">
      <c r="A18" s="302" t="s">
        <v>2419</v>
      </c>
      <c r="B18" s="300">
        <v>0.95699999999999996</v>
      </c>
    </row>
    <row r="19" spans="1:2">
      <c r="A19" s="305" t="s">
        <v>2418</v>
      </c>
      <c r="B19" s="303">
        <v>0.96499999999999997</v>
      </c>
    </row>
    <row r="20" spans="1:2">
      <c r="A20" s="305" t="s">
        <v>2417</v>
      </c>
      <c r="B20" s="303">
        <v>0.97199999999999998</v>
      </c>
    </row>
    <row r="21" spans="1:2">
      <c r="A21" s="302" t="s">
        <v>2416</v>
      </c>
      <c r="B21" s="300">
        <v>0.95699999999999996</v>
      </c>
    </row>
    <row r="22" spans="1:2" ht="13.5" thickBot="1">
      <c r="A22" s="302" t="s">
        <v>2415</v>
      </c>
      <c r="B22" s="300">
        <v>0.97199999999999998</v>
      </c>
    </row>
    <row r="23" spans="1:2" ht="13.5" thickBot="1">
      <c r="A23" s="572" t="s">
        <v>2414</v>
      </c>
      <c r="B23" s="573"/>
    </row>
    <row r="24" spans="1:2">
      <c r="A24" s="305" t="s">
        <v>2413</v>
      </c>
      <c r="B24" s="303">
        <v>0.93100000000000005</v>
      </c>
    </row>
    <row r="25" spans="1:2" ht="13.5" thickBot="1">
      <c r="A25" s="345" t="s">
        <v>2412</v>
      </c>
      <c r="B25" s="344">
        <v>0.97299999999999998</v>
      </c>
    </row>
    <row r="27" spans="1:2" ht="13.5" thickBot="1"/>
    <row r="28" spans="1:2" ht="16.5" thickBot="1">
      <c r="A28" s="563" t="s">
        <v>219</v>
      </c>
      <c r="B28" s="565"/>
    </row>
    <row r="29" spans="1:2" ht="13.5" thickBot="1">
      <c r="A29" s="319" t="s">
        <v>2284</v>
      </c>
      <c r="B29" s="317" t="s">
        <v>2388</v>
      </c>
    </row>
    <row r="30" spans="1:2" ht="22.5">
      <c r="A30" s="312" t="s">
        <v>2411</v>
      </c>
      <c r="B30" s="310">
        <v>407</v>
      </c>
    </row>
    <row r="31" spans="1:2" ht="22.5">
      <c r="A31" s="312" t="s">
        <v>2410</v>
      </c>
      <c r="B31" s="310">
        <v>742</v>
      </c>
    </row>
    <row r="32" spans="1:2">
      <c r="A32" s="315" t="s">
        <v>2409</v>
      </c>
      <c r="B32" s="349">
        <v>9142</v>
      </c>
    </row>
    <row r="33" spans="1:2">
      <c r="A33" s="315" t="s">
        <v>2408</v>
      </c>
      <c r="B33" s="349">
        <v>26856</v>
      </c>
    </row>
    <row r="34" spans="1:2" ht="13.5" thickBot="1">
      <c r="A34" s="345" t="s">
        <v>2407</v>
      </c>
      <c r="B34" s="355">
        <v>47409</v>
      </c>
    </row>
    <row r="36" spans="1:2" ht="13.5" thickBot="1"/>
    <row r="37" spans="1:2" ht="16.5" thickBot="1">
      <c r="A37" s="563" t="s">
        <v>2209</v>
      </c>
      <c r="B37" s="565"/>
    </row>
    <row r="38" spans="1:2" ht="13.5" thickBot="1">
      <c r="A38" s="308" t="s">
        <v>2284</v>
      </c>
      <c r="B38" s="306" t="s">
        <v>2388</v>
      </c>
    </row>
    <row r="39" spans="1:2">
      <c r="A39" s="302" t="s">
        <v>2406</v>
      </c>
      <c r="B39" s="300">
        <v>0.34799999999999998</v>
      </c>
    </row>
    <row r="40" spans="1:2">
      <c r="A40" s="302" t="s">
        <v>2405</v>
      </c>
      <c r="B40" s="300">
        <v>0.34799999999999998</v>
      </c>
    </row>
    <row r="41" spans="1:2">
      <c r="A41" s="305" t="s">
        <v>2404</v>
      </c>
      <c r="B41" s="303">
        <v>0.33100000000000002</v>
      </c>
    </row>
    <row r="42" spans="1:2">
      <c r="A42" s="305" t="s">
        <v>2403</v>
      </c>
      <c r="B42" s="303">
        <v>0.55000000000000004</v>
      </c>
    </row>
    <row r="43" spans="1:2">
      <c r="A43" s="302" t="s">
        <v>2402</v>
      </c>
      <c r="B43" s="300">
        <v>0.34100000000000003</v>
      </c>
    </row>
    <row r="44" spans="1:2">
      <c r="A44" s="302" t="s">
        <v>2401</v>
      </c>
      <c r="B44" s="300">
        <v>0.47</v>
      </c>
    </row>
    <row r="45" spans="1:2">
      <c r="A45" s="305" t="s">
        <v>2400</v>
      </c>
      <c r="B45" s="303">
        <v>0.32100000000000001</v>
      </c>
    </row>
    <row r="46" spans="1:2">
      <c r="A46" s="305" t="s">
        <v>2399</v>
      </c>
      <c r="B46" s="303">
        <v>0.43</v>
      </c>
    </row>
    <row r="47" spans="1:2">
      <c r="A47" s="302" t="s">
        <v>2398</v>
      </c>
      <c r="B47" s="300">
        <v>0.08</v>
      </c>
    </row>
    <row r="48" spans="1:2">
      <c r="A48" s="354" t="s">
        <v>2397</v>
      </c>
      <c r="B48" s="353">
        <v>8.7040000000000006</v>
      </c>
    </row>
    <row r="49" spans="1:2">
      <c r="A49" s="352" t="s">
        <v>2396</v>
      </c>
      <c r="B49" s="351">
        <v>6.9260000000000002</v>
      </c>
    </row>
    <row r="50" spans="1:2" ht="22.5">
      <c r="A50" s="350" t="s">
        <v>2395</v>
      </c>
      <c r="B50" s="349">
        <v>2400</v>
      </c>
    </row>
    <row r="51" spans="1:2" ht="22.5">
      <c r="A51" s="348" t="s">
        <v>2394</v>
      </c>
      <c r="B51" s="347">
        <v>50</v>
      </c>
    </row>
    <row r="52" spans="1:2" ht="22.5">
      <c r="A52" s="346" t="s">
        <v>2393</v>
      </c>
      <c r="B52" s="343">
        <v>2400</v>
      </c>
    </row>
    <row r="53" spans="1:2" ht="23.25" thickBot="1">
      <c r="A53" s="299" t="s">
        <v>2392</v>
      </c>
      <c r="B53" s="309">
        <v>50</v>
      </c>
    </row>
    <row r="55" spans="1:2" ht="13.5" thickBot="1"/>
    <row r="56" spans="1:2" ht="16.5" thickBot="1">
      <c r="A56" s="563" t="s">
        <v>2391</v>
      </c>
      <c r="B56" s="565"/>
    </row>
    <row r="57" spans="1:2" ht="13.5" thickBot="1">
      <c r="A57" s="319" t="s">
        <v>2284</v>
      </c>
      <c r="B57" s="317" t="s">
        <v>2388</v>
      </c>
    </row>
    <row r="58" spans="1:2" ht="13.5" thickBot="1">
      <c r="A58" s="345" t="s">
        <v>2390</v>
      </c>
      <c r="B58" s="344">
        <v>0.70499999999999996</v>
      </c>
    </row>
    <row r="60" spans="1:2" ht="13.5" thickBot="1"/>
    <row r="61" spans="1:2" ht="16.5" thickBot="1">
      <c r="A61" s="563" t="s">
        <v>2389</v>
      </c>
      <c r="B61" s="565"/>
    </row>
    <row r="62" spans="1:2" ht="13.5" thickBot="1">
      <c r="A62" s="319" t="s">
        <v>2284</v>
      </c>
      <c r="B62" s="317" t="s">
        <v>2388</v>
      </c>
    </row>
    <row r="63" spans="1:2">
      <c r="A63" s="312" t="s">
        <v>2387</v>
      </c>
      <c r="B63" s="343">
        <v>16560</v>
      </c>
    </row>
    <row r="64" spans="1:2">
      <c r="A64" s="312" t="s">
        <v>2386</v>
      </c>
      <c r="B64" s="343">
        <v>3551</v>
      </c>
    </row>
    <row r="65" spans="1:2">
      <c r="A65" s="315" t="s">
        <v>2385</v>
      </c>
      <c r="B65" s="313">
        <v>1.04</v>
      </c>
    </row>
    <row r="66" spans="1:2" ht="13.5" thickBot="1">
      <c r="A66" s="299" t="s">
        <v>2384</v>
      </c>
      <c r="B66" s="342">
        <v>1844</v>
      </c>
    </row>
  </sheetData>
  <mergeCells count="7">
    <mergeCell ref="A37:B37"/>
    <mergeCell ref="A56:B56"/>
    <mergeCell ref="A61:B61"/>
    <mergeCell ref="A1:B1"/>
    <mergeCell ref="A23:B23"/>
    <mergeCell ref="A15:B15"/>
    <mergeCell ref="A28:B28"/>
  </mergeCells>
  <pageMargins left="0.75" right="0.75" top="1" bottom="1" header="0.5" footer="0.5"/>
</worksheet>
</file>

<file path=xl/worksheets/sheet3.xml><?xml version="1.0" encoding="utf-8"?>
<worksheet xmlns="http://schemas.openxmlformats.org/spreadsheetml/2006/main" xmlns:r="http://schemas.openxmlformats.org/officeDocument/2006/relationships">
  <dimension ref="B2:I10"/>
  <sheetViews>
    <sheetView workbookViewId="0">
      <selection activeCell="I10" sqref="B3:I10"/>
    </sheetView>
  </sheetViews>
  <sheetFormatPr defaultColWidth="8.85546875" defaultRowHeight="15"/>
  <cols>
    <col min="2" max="2" width="23" bestFit="1" customWidth="1"/>
    <col min="3" max="3" width="10.7109375" customWidth="1"/>
    <col min="4" max="4" width="11.7109375" customWidth="1"/>
    <col min="5" max="6" width="9.5703125" customWidth="1"/>
    <col min="7" max="9" width="9.5703125" bestFit="1" customWidth="1"/>
  </cols>
  <sheetData>
    <row r="2" spans="2:9" ht="15.75" thickBot="1">
      <c r="B2" t="s">
        <v>121</v>
      </c>
    </row>
    <row r="3" spans="2:9" ht="15.75" thickBot="1">
      <c r="B3" s="124"/>
      <c r="C3" s="122"/>
      <c r="D3" s="123"/>
      <c r="E3" s="540" t="s">
        <v>110</v>
      </c>
      <c r="F3" s="541"/>
      <c r="G3" s="537" t="s">
        <v>119</v>
      </c>
      <c r="H3" s="538"/>
      <c r="I3" s="539"/>
    </row>
    <row r="4" spans="2:9" ht="75.75" thickBot="1">
      <c r="B4" s="125" t="s">
        <v>120</v>
      </c>
      <c r="C4" s="126" t="s">
        <v>2442</v>
      </c>
      <c r="D4" s="127" t="s">
        <v>2486</v>
      </c>
      <c r="E4" s="148" t="s">
        <v>122</v>
      </c>
      <c r="F4" s="150" t="s">
        <v>117</v>
      </c>
      <c r="G4" s="128" t="s">
        <v>2213</v>
      </c>
      <c r="H4" s="128" t="s">
        <v>2214</v>
      </c>
      <c r="I4" s="129" t="s">
        <v>2228</v>
      </c>
    </row>
    <row r="5" spans="2:9">
      <c r="B5" s="113" t="s">
        <v>111</v>
      </c>
      <c r="C5" s="384" t="s">
        <v>2475</v>
      </c>
      <c r="D5" s="385">
        <f>'4- Range'!C3</f>
        <v>393.91300000000001</v>
      </c>
      <c r="E5" s="518">
        <f>'5-Auto Prices '!C3</f>
        <v>21820.563015599178</v>
      </c>
      <c r="F5" s="519">
        <f>'6-Fuel NPV'!C25</f>
        <v>15508.214999625197</v>
      </c>
      <c r="G5" s="520">
        <f>'7-External Costs Summary'!F4</f>
        <v>1904.1805762716026</v>
      </c>
      <c r="H5" s="409">
        <f>'7-External Costs Summary'!J4</f>
        <v>1469.8239467554667</v>
      </c>
      <c r="I5" s="521">
        <f>'11-Oil Externalities'!C21</f>
        <v>417.22975455850781</v>
      </c>
    </row>
    <row r="6" spans="2:9">
      <c r="B6" s="113" t="s">
        <v>89</v>
      </c>
      <c r="C6" s="375">
        <f>'3-market share'!H14</f>
        <v>0.75030574979876796</v>
      </c>
      <c r="D6" s="386">
        <f>'4- Range'!C4</f>
        <v>286.08699999999999</v>
      </c>
      <c r="E6" s="153">
        <f>'5-Auto Prices '!C4</f>
        <v>24586.453925475318</v>
      </c>
      <c r="F6" s="522">
        <f>'6-Fuel NPV'!D25</f>
        <v>20432.188308111534</v>
      </c>
      <c r="G6" s="410">
        <f>'7-External Costs Summary'!F5</f>
        <v>2127.2731887932864</v>
      </c>
      <c r="H6" s="411">
        <f>'7-External Costs Summary'!J5</f>
        <v>913.53992848264693</v>
      </c>
      <c r="I6" s="523">
        <f>'11-Oil Externalities'!D21</f>
        <v>62.584463183776172</v>
      </c>
    </row>
    <row r="7" spans="2:9">
      <c r="B7" s="113" t="s">
        <v>115</v>
      </c>
      <c r="C7" s="375">
        <f>'3-market share'!H28</f>
        <v>0.24700232776567602</v>
      </c>
      <c r="D7" s="386">
        <f>'4- Range'!F7</f>
        <v>580.79999999999995</v>
      </c>
      <c r="E7" s="153">
        <f>'5-Auto Prices '!C5</f>
        <v>26065.748148913644</v>
      </c>
      <c r="F7" s="522">
        <f>'6-Fuel NPV'!E25</f>
        <v>11077.296428303713</v>
      </c>
      <c r="G7" s="410">
        <f>'7-External Costs Summary'!F6</f>
        <v>1780.541847583102</v>
      </c>
      <c r="H7" s="411">
        <f>'7-External Costs Summary'!J6</f>
        <v>1098.003098523202</v>
      </c>
      <c r="I7" s="523">
        <f>'11-Oil Externalities'!E21</f>
        <v>298.02125325607699</v>
      </c>
    </row>
    <row r="8" spans="2:9">
      <c r="B8" s="113" t="s">
        <v>112</v>
      </c>
      <c r="C8" s="375">
        <f>'3-market share'!H8</f>
        <v>0</v>
      </c>
      <c r="D8" s="386">
        <f>'4- Range'!C6</f>
        <v>190</v>
      </c>
      <c r="E8" s="153">
        <f>'5-Auto Prices '!C6</f>
        <v>27173.272376724704</v>
      </c>
      <c r="F8" s="522">
        <f>'6-Fuel NPV'!F25</f>
        <v>9516.4351212012516</v>
      </c>
      <c r="G8" s="410">
        <f>'7-External Costs Summary'!F7</f>
        <v>1763.1355348343764</v>
      </c>
      <c r="H8" s="411">
        <f>'7-External Costs Summary'!J7</f>
        <v>1221.9433471013865</v>
      </c>
      <c r="I8" s="523">
        <v>0</v>
      </c>
    </row>
    <row r="9" spans="2:9">
      <c r="B9" s="113" t="s">
        <v>114</v>
      </c>
      <c r="C9" s="375">
        <f>'3-market share'!H16</f>
        <v>1.7025510836264718E-5</v>
      </c>
      <c r="D9" s="386">
        <f>'4- Range'!C7</f>
        <v>215</v>
      </c>
      <c r="E9" s="153">
        <f>'5-Auto Prices '!C7</f>
        <v>48660.994192050261</v>
      </c>
      <c r="F9" s="522">
        <f>'6-Fuel NPV'!H25</f>
        <v>6785.1441931769477</v>
      </c>
      <c r="G9" s="410">
        <f>'7-External Costs Summary'!F8</f>
        <v>1784.2979738676013</v>
      </c>
      <c r="H9" s="411">
        <f>'7-External Costs Summary'!J8</f>
        <v>1004.1356516685703</v>
      </c>
      <c r="I9" s="523">
        <v>0</v>
      </c>
    </row>
    <row r="10" spans="2:9" ht="15.75" thickBot="1">
      <c r="B10" s="119" t="s">
        <v>116</v>
      </c>
      <c r="C10" s="387">
        <f>'3-market share'!H12</f>
        <v>2.1054881734180698E-3</v>
      </c>
      <c r="D10" s="388">
        <f>'4- Range'!C8</f>
        <v>74.75</v>
      </c>
      <c r="E10" s="524">
        <f>'5-Auto Prices '!C8</f>
        <v>41585.685636526148</v>
      </c>
      <c r="F10" s="525">
        <f>'6-Fuel NPV'!G25</f>
        <v>4616.61699330587</v>
      </c>
      <c r="G10" s="526">
        <f>'7-External Costs Summary'!F9</f>
        <v>3041.5371328344149</v>
      </c>
      <c r="H10" s="527">
        <f>'7-External Costs Summary'!J9</f>
        <v>1219.2376662749648</v>
      </c>
      <c r="I10" s="528">
        <v>0</v>
      </c>
    </row>
  </sheetData>
  <mergeCells count="2">
    <mergeCell ref="E3:F3"/>
    <mergeCell ref="G3:I3"/>
  </mergeCells>
  <pageMargins left="0.7" right="0.7" top="0.75" bottom="0.75" header="0.3" footer="0.3"/>
  <pageSetup orientation="portrait" horizontalDpi="4294967292" verticalDpi="4294967292" r:id="rId1"/>
</worksheet>
</file>

<file path=xl/worksheets/sheet30.xml><?xml version="1.0" encoding="utf-8"?>
<worksheet xmlns="http://schemas.openxmlformats.org/spreadsheetml/2006/main" xmlns:r="http://schemas.openxmlformats.org/officeDocument/2006/relationships">
  <dimension ref="A1:B13"/>
  <sheetViews>
    <sheetView showGridLines="0" workbookViewId="0">
      <selection activeCell="A17" sqref="A17:B17"/>
    </sheetView>
  </sheetViews>
  <sheetFormatPr defaultColWidth="8.85546875" defaultRowHeight="12.75"/>
  <cols>
    <col min="1" max="1" width="30.7109375" style="295" customWidth="1"/>
    <col min="2" max="2" width="13.7109375" style="295" customWidth="1"/>
    <col min="3" max="16384" width="8.85546875" style="295"/>
  </cols>
  <sheetData>
    <row r="1" spans="1:2" ht="23.25" thickBot="1">
      <c r="A1" s="357" t="s">
        <v>2441</v>
      </c>
      <c r="B1" s="356" t="s">
        <v>2440</v>
      </c>
    </row>
    <row r="2" spans="1:2" ht="13.5" thickBot="1"/>
    <row r="3" spans="1:2" ht="16.5" thickBot="1">
      <c r="A3" s="563" t="s">
        <v>2439</v>
      </c>
      <c r="B3" s="565"/>
    </row>
    <row r="4" spans="1:2" ht="23.25" thickBot="1">
      <c r="A4" s="319" t="s">
        <v>2257</v>
      </c>
      <c r="B4" s="317" t="s">
        <v>2438</v>
      </c>
    </row>
    <row r="5" spans="1:2" ht="22.5">
      <c r="A5" s="312" t="s">
        <v>2437</v>
      </c>
      <c r="B5" s="360">
        <v>1597.5</v>
      </c>
    </row>
    <row r="6" spans="1:2" ht="22.5">
      <c r="A6" s="312" t="s">
        <v>2436</v>
      </c>
      <c r="B6" s="310">
        <v>193</v>
      </c>
    </row>
    <row r="7" spans="1:2" ht="22.5">
      <c r="A7" s="315" t="s">
        <v>2435</v>
      </c>
      <c r="B7" s="359">
        <v>1.476</v>
      </c>
    </row>
    <row r="8" spans="1:2">
      <c r="A8" s="315" t="s">
        <v>2434</v>
      </c>
      <c r="B8" s="313">
        <v>11.2</v>
      </c>
    </row>
    <row r="9" spans="1:2">
      <c r="A9" s="312" t="s">
        <v>2433</v>
      </c>
      <c r="B9" s="310">
        <v>25.6</v>
      </c>
    </row>
    <row r="10" spans="1:2" ht="13.5" thickBot="1">
      <c r="A10" s="345" t="s">
        <v>2432</v>
      </c>
      <c r="B10" s="358">
        <v>74.400000000000006</v>
      </c>
    </row>
    <row r="12" spans="1:2" ht="13.5" thickBot="1"/>
    <row r="13" spans="1:2" ht="13.5" thickBot="1">
      <c r="A13" s="357" t="s">
        <v>2431</v>
      </c>
      <c r="B13" s="356">
        <v>88</v>
      </c>
    </row>
  </sheetData>
  <mergeCells count="1">
    <mergeCell ref="A3:B3"/>
  </mergeCells>
  <pageMargins left="0.75" right="0.75" top="1" bottom="1" header="0.5" footer="0.5"/>
</worksheet>
</file>

<file path=xl/worksheets/sheet31.xml><?xml version="1.0" encoding="utf-8"?>
<worksheet xmlns="http://schemas.openxmlformats.org/spreadsheetml/2006/main" xmlns:r="http://schemas.openxmlformats.org/officeDocument/2006/relationships">
  <dimension ref="B2:D92"/>
  <sheetViews>
    <sheetView topLeftCell="A10" workbookViewId="0">
      <selection activeCell="D4" sqref="D4:D68"/>
    </sheetView>
  </sheetViews>
  <sheetFormatPr defaultColWidth="8.85546875" defaultRowHeight="15"/>
  <cols>
    <col min="3" max="3" width="17.140625" customWidth="1"/>
  </cols>
  <sheetData>
    <row r="2" spans="2:4" ht="45">
      <c r="B2" s="136"/>
      <c r="C2" s="137" t="s">
        <v>102</v>
      </c>
      <c r="D2" s="137" t="s">
        <v>126</v>
      </c>
    </row>
    <row r="3" spans="2:4" ht="30.75" thickBot="1">
      <c r="B3" s="138"/>
      <c r="C3" s="139"/>
      <c r="D3" s="139" t="s">
        <v>127</v>
      </c>
    </row>
    <row r="4" spans="2:4" ht="15.75" thickTop="1">
      <c r="B4" s="574" t="s">
        <v>128</v>
      </c>
      <c r="C4" s="140" t="s">
        <v>129</v>
      </c>
      <c r="D4" s="140">
        <v>0.16352</v>
      </c>
    </row>
    <row r="5" spans="2:4">
      <c r="B5" s="575"/>
      <c r="C5" s="140" t="s">
        <v>130</v>
      </c>
      <c r="D5" s="140">
        <v>0.16531000000000001</v>
      </c>
    </row>
    <row r="6" spans="2:4">
      <c r="B6" s="575"/>
      <c r="C6" s="140" t="s">
        <v>131</v>
      </c>
      <c r="D6" s="140">
        <v>0.17718</v>
      </c>
    </row>
    <row r="7" spans="2:4">
      <c r="B7" s="575"/>
      <c r="C7" s="140" t="s">
        <v>132</v>
      </c>
      <c r="D7" s="140">
        <v>0.18021999999999999</v>
      </c>
    </row>
    <row r="8" spans="2:4">
      <c r="B8" s="575"/>
      <c r="C8" s="140" t="s">
        <v>133</v>
      </c>
      <c r="D8" s="140">
        <v>0.18243000000000001</v>
      </c>
    </row>
    <row r="9" spans="2:4">
      <c r="B9" s="575"/>
      <c r="C9" s="140" t="s">
        <v>134</v>
      </c>
      <c r="D9" s="140">
        <v>0.18417</v>
      </c>
    </row>
    <row r="10" spans="2:4">
      <c r="B10" s="575"/>
      <c r="C10" s="140" t="s">
        <v>135</v>
      </c>
      <c r="D10" s="140">
        <v>0.18743000000000001</v>
      </c>
    </row>
    <row r="11" spans="2:4">
      <c r="B11" s="575"/>
      <c r="C11" s="140" t="s">
        <v>136</v>
      </c>
      <c r="D11" s="140">
        <v>0.19392999999999999</v>
      </c>
    </row>
    <row r="12" spans="2:4">
      <c r="B12" s="575"/>
      <c r="C12" s="140" t="s">
        <v>137</v>
      </c>
      <c r="D12" s="140">
        <v>0.20038</v>
      </c>
    </row>
    <row r="13" spans="2:4">
      <c r="B13" s="575"/>
      <c r="C13" s="140" t="s">
        <v>138</v>
      </c>
      <c r="D13" s="140">
        <v>0.20498</v>
      </c>
    </row>
    <row r="14" spans="2:4">
      <c r="B14" s="575"/>
      <c r="C14" s="140" t="s">
        <v>139</v>
      </c>
      <c r="D14" s="140">
        <v>0.20751</v>
      </c>
    </row>
    <row r="15" spans="2:4">
      <c r="B15" s="575"/>
      <c r="C15" s="140" t="s">
        <v>140</v>
      </c>
      <c r="D15" s="140">
        <v>0.21041000000000001</v>
      </c>
    </row>
    <row r="16" spans="2:4">
      <c r="B16" s="575"/>
      <c r="C16" s="140" t="s">
        <v>141</v>
      </c>
      <c r="D16" s="140">
        <v>0.21278</v>
      </c>
    </row>
    <row r="17" spans="2:4">
      <c r="B17" s="575"/>
      <c r="C17" s="140" t="s">
        <v>142</v>
      </c>
      <c r="D17" s="140">
        <v>0.21568999999999999</v>
      </c>
    </row>
    <row r="18" spans="2:4">
      <c r="B18" s="575"/>
      <c r="C18" s="140" t="s">
        <v>143</v>
      </c>
      <c r="D18" s="140">
        <v>0.21798000000000001</v>
      </c>
    </row>
    <row r="19" spans="2:4">
      <c r="B19" s="575"/>
      <c r="C19" s="140" t="s">
        <v>144</v>
      </c>
      <c r="D19" s="140">
        <v>0.22131000000000001</v>
      </c>
    </row>
    <row r="20" spans="2:4">
      <c r="B20" s="575"/>
      <c r="C20" s="140" t="s">
        <v>145</v>
      </c>
      <c r="D20" s="140">
        <v>0.22534999999999999</v>
      </c>
    </row>
    <row r="21" spans="2:4">
      <c r="B21" s="575"/>
      <c r="C21" s="140" t="s">
        <v>146</v>
      </c>
      <c r="D21" s="140">
        <v>0.23175999999999999</v>
      </c>
    </row>
    <row r="22" spans="2:4">
      <c r="B22" s="575"/>
      <c r="C22" s="140" t="s">
        <v>147</v>
      </c>
      <c r="D22" s="140">
        <v>0.23893</v>
      </c>
    </row>
    <row r="23" spans="2:4">
      <c r="B23" s="575"/>
      <c r="C23" s="140" t="s">
        <v>148</v>
      </c>
      <c r="D23" s="140">
        <v>0.24912999999999999</v>
      </c>
    </row>
    <row r="24" spans="2:4">
      <c r="B24" s="575"/>
      <c r="C24" s="140" t="s">
        <v>149</v>
      </c>
      <c r="D24" s="140">
        <v>0.26149</v>
      </c>
    </row>
    <row r="25" spans="2:4">
      <c r="B25" s="575"/>
      <c r="C25" s="140" t="s">
        <v>150</v>
      </c>
      <c r="D25" s="140">
        <v>0.27533999999999997</v>
      </c>
    </row>
    <row r="26" spans="2:4">
      <c r="B26" s="575"/>
      <c r="C26" s="140" t="s">
        <v>151</v>
      </c>
      <c r="D26" s="140">
        <v>0.28910999999999998</v>
      </c>
    </row>
    <row r="27" spans="2:4">
      <c r="B27" s="575"/>
      <c r="C27" s="140" t="s">
        <v>152</v>
      </c>
      <c r="D27" s="140">
        <v>0.30165999999999998</v>
      </c>
    </row>
    <row r="28" spans="2:4">
      <c r="B28" s="575"/>
      <c r="C28" s="140" t="s">
        <v>153</v>
      </c>
      <c r="D28" s="140">
        <v>0.31849</v>
      </c>
    </row>
    <row r="29" spans="2:4">
      <c r="B29" s="575"/>
      <c r="C29" s="140" t="s">
        <v>154</v>
      </c>
      <c r="D29" s="140">
        <v>0.34725</v>
      </c>
    </row>
    <row r="30" spans="2:4">
      <c r="B30" s="575"/>
      <c r="C30" s="140" t="s">
        <v>155</v>
      </c>
      <c r="D30" s="140">
        <v>0.38002000000000002</v>
      </c>
    </row>
    <row r="31" spans="2:4">
      <c r="B31" s="575"/>
      <c r="C31" s="140" t="s">
        <v>156</v>
      </c>
      <c r="D31" s="140">
        <v>0.40195999999999998</v>
      </c>
    </row>
    <row r="32" spans="2:4">
      <c r="B32" s="575"/>
      <c r="C32" s="140" t="s">
        <v>157</v>
      </c>
      <c r="D32" s="140">
        <v>0.42752000000000001</v>
      </c>
    </row>
    <row r="33" spans="2:4">
      <c r="B33" s="575"/>
      <c r="C33" s="140" t="s">
        <v>158</v>
      </c>
      <c r="D33" s="140">
        <v>0.45756999999999998</v>
      </c>
    </row>
    <row r="34" spans="2:4">
      <c r="B34" s="575"/>
      <c r="C34" s="140" t="s">
        <v>159</v>
      </c>
      <c r="D34" s="140">
        <v>0.49547999999999998</v>
      </c>
    </row>
    <row r="35" spans="2:4">
      <c r="B35" s="575"/>
      <c r="C35" s="140" t="s">
        <v>160</v>
      </c>
      <c r="D35" s="140">
        <v>0.54042999999999997</v>
      </c>
    </row>
    <row r="36" spans="2:4">
      <c r="B36" s="575"/>
      <c r="C36" s="140" t="s">
        <v>161</v>
      </c>
      <c r="D36" s="140">
        <v>0.59118999999999999</v>
      </c>
    </row>
    <row r="37" spans="2:4">
      <c r="B37" s="575"/>
      <c r="C37" s="140" t="s">
        <v>162</v>
      </c>
      <c r="D37" s="140">
        <v>0.62726000000000004</v>
      </c>
    </row>
    <row r="38" spans="2:4">
      <c r="B38" s="575"/>
      <c r="C38" s="140" t="s">
        <v>163</v>
      </c>
      <c r="D38" s="140">
        <v>0.65207000000000004</v>
      </c>
    </row>
    <row r="39" spans="2:4">
      <c r="B39" s="575"/>
      <c r="C39" s="140" t="s">
        <v>164</v>
      </c>
      <c r="D39" s="140">
        <v>0.67654999999999998</v>
      </c>
    </row>
    <row r="40" spans="2:4">
      <c r="B40" s="575"/>
      <c r="C40" s="140" t="s">
        <v>165</v>
      </c>
      <c r="D40" s="140">
        <v>0.69713000000000003</v>
      </c>
    </row>
    <row r="41" spans="2:4">
      <c r="B41" s="575"/>
      <c r="C41" s="140" t="s">
        <v>166</v>
      </c>
      <c r="D41" s="140">
        <v>0.71250000000000002</v>
      </c>
    </row>
    <row r="42" spans="2:4">
      <c r="B42" s="575"/>
      <c r="C42" s="140" t="s">
        <v>167</v>
      </c>
      <c r="D42" s="140">
        <v>0.73196000000000006</v>
      </c>
    </row>
    <row r="43" spans="2:4">
      <c r="B43" s="575"/>
      <c r="C43" s="140" t="s">
        <v>168</v>
      </c>
      <c r="D43" s="140">
        <v>0.75693999999999995</v>
      </c>
    </row>
    <row r="44" spans="2:4">
      <c r="B44" s="575"/>
      <c r="C44" s="140" t="s">
        <v>169</v>
      </c>
      <c r="D44" s="140">
        <v>0.78556000000000004</v>
      </c>
    </row>
    <row r="45" spans="2:4">
      <c r="B45" s="575"/>
      <c r="C45" s="140" t="s">
        <v>170</v>
      </c>
      <c r="D45" s="140">
        <v>0.81589999999999996</v>
      </c>
    </row>
    <row r="46" spans="2:4">
      <c r="B46" s="575"/>
      <c r="C46" s="140" t="s">
        <v>171</v>
      </c>
      <c r="D46" s="140">
        <v>0.84443999999999997</v>
      </c>
    </row>
    <row r="47" spans="2:4">
      <c r="B47" s="575"/>
      <c r="C47" s="140" t="s">
        <v>172</v>
      </c>
      <c r="D47" s="140">
        <v>0.86385000000000001</v>
      </c>
    </row>
    <row r="48" spans="2:4">
      <c r="B48" s="575"/>
      <c r="C48" s="140" t="s">
        <v>173</v>
      </c>
      <c r="D48" s="140">
        <v>0.88380999999999998</v>
      </c>
    </row>
    <row r="49" spans="2:4">
      <c r="B49" s="575"/>
      <c r="C49" s="140" t="s">
        <v>174</v>
      </c>
      <c r="D49" s="140">
        <v>0.90259</v>
      </c>
    </row>
    <row r="50" spans="2:4">
      <c r="B50" s="575"/>
      <c r="C50" s="140" t="s">
        <v>175</v>
      </c>
      <c r="D50" s="140">
        <v>0.92105999999999999</v>
      </c>
    </row>
    <row r="51" spans="2:4">
      <c r="B51" s="575"/>
      <c r="C51" s="140" t="s">
        <v>176</v>
      </c>
      <c r="D51" s="140">
        <v>0.93852000000000002</v>
      </c>
    </row>
    <row r="52" spans="2:4">
      <c r="B52" s="575"/>
      <c r="C52" s="140" t="s">
        <v>177</v>
      </c>
      <c r="D52" s="140">
        <v>0.95413999999999999</v>
      </c>
    </row>
    <row r="53" spans="2:4">
      <c r="B53" s="575"/>
      <c r="C53" s="140" t="s">
        <v>178</v>
      </c>
      <c r="D53" s="140">
        <v>0.96472000000000002</v>
      </c>
    </row>
    <row r="54" spans="2:4">
      <c r="B54" s="575"/>
      <c r="C54" s="140" t="s">
        <v>179</v>
      </c>
      <c r="D54" s="140">
        <v>0.97867999999999999</v>
      </c>
    </row>
    <row r="55" spans="2:4">
      <c r="B55" s="575"/>
      <c r="C55" s="140" t="s">
        <v>180</v>
      </c>
      <c r="D55" s="140">
        <v>1</v>
      </c>
    </row>
    <row r="56" spans="2:4">
      <c r="B56" s="575"/>
      <c r="C56" s="140" t="s">
        <v>181</v>
      </c>
      <c r="D56" s="140">
        <v>1.02399</v>
      </c>
    </row>
    <row r="57" spans="2:4">
      <c r="B57" s="575"/>
      <c r="C57" s="140" t="s">
        <v>182</v>
      </c>
      <c r="D57" s="140">
        <v>1.0418700000000001</v>
      </c>
    </row>
    <row r="58" spans="2:4">
      <c r="B58" s="575"/>
      <c r="C58" s="140" t="s">
        <v>183</v>
      </c>
      <c r="D58" s="140">
        <v>1.0640400000000001</v>
      </c>
    </row>
    <row r="59" spans="2:4">
      <c r="B59" s="575"/>
      <c r="C59" s="140" t="s">
        <v>184</v>
      </c>
      <c r="D59" s="140">
        <v>1.0946199999999999</v>
      </c>
    </row>
    <row r="60" spans="2:4">
      <c r="B60" s="575"/>
      <c r="C60" s="140" t="s">
        <v>185</v>
      </c>
      <c r="D60" s="140">
        <v>1.1303399999999999</v>
      </c>
    </row>
    <row r="61" spans="2:4">
      <c r="B61" s="575"/>
      <c r="C61" s="140" t="s">
        <v>186</v>
      </c>
      <c r="D61" s="140">
        <v>1.16676</v>
      </c>
    </row>
    <row r="62" spans="2:4">
      <c r="B62" s="576"/>
      <c r="C62" s="141" t="s">
        <v>187</v>
      </c>
      <c r="D62" s="141">
        <v>1.1981599999999999</v>
      </c>
    </row>
    <row r="63" spans="2:4">
      <c r="B63" s="577" t="s">
        <v>188</v>
      </c>
      <c r="C63" s="142" t="s">
        <v>189</v>
      </c>
      <c r="D63" s="143">
        <v>1.1981900000000001</v>
      </c>
    </row>
    <row r="64" spans="2:4">
      <c r="B64" s="575"/>
      <c r="C64" s="136" t="s">
        <v>190</v>
      </c>
      <c r="D64" s="144">
        <v>1.2250000000000001</v>
      </c>
    </row>
    <row r="65" spans="2:4">
      <c r="B65" s="575"/>
      <c r="C65" s="136" t="s">
        <v>191</v>
      </c>
      <c r="D65" s="144">
        <v>1.2436309999999999</v>
      </c>
    </row>
    <row r="66" spans="2:4">
      <c r="B66" s="575"/>
      <c r="C66" s="136" t="s">
        <v>192</v>
      </c>
      <c r="D66" s="144">
        <v>1.261946</v>
      </c>
    </row>
    <row r="67" spans="2:4">
      <c r="B67" s="575"/>
      <c r="C67" s="136" t="s">
        <v>193</v>
      </c>
      <c r="D67" s="144">
        <v>1.278405</v>
      </c>
    </row>
    <row r="68" spans="2:4">
      <c r="B68" s="575"/>
      <c r="C68" s="136" t="s">
        <v>194</v>
      </c>
      <c r="D68" s="144">
        <v>1.2966709999999999</v>
      </c>
    </row>
    <row r="69" spans="2:4">
      <c r="B69" s="575"/>
      <c r="C69" s="136" t="s">
        <v>195</v>
      </c>
      <c r="D69" s="144">
        <v>1.319523</v>
      </c>
    </row>
    <row r="70" spans="2:4">
      <c r="B70" s="575"/>
      <c r="C70" s="136" t="s">
        <v>196</v>
      </c>
      <c r="D70" s="144">
        <v>1.3422909999999999</v>
      </c>
    </row>
    <row r="71" spans="2:4">
      <c r="B71" s="575"/>
      <c r="C71" s="136" t="s">
        <v>197</v>
      </c>
      <c r="D71" s="144">
        <v>1.365116</v>
      </c>
    </row>
    <row r="72" spans="2:4">
      <c r="B72" s="575"/>
      <c r="C72" s="136" t="s">
        <v>198</v>
      </c>
      <c r="D72" s="144">
        <v>1.3895459999999999</v>
      </c>
    </row>
    <row r="73" spans="2:4">
      <c r="B73" s="575"/>
      <c r="C73" s="136" t="s">
        <v>199</v>
      </c>
      <c r="D73" s="144">
        <v>1.415251</v>
      </c>
    </row>
    <row r="74" spans="2:4">
      <c r="B74" s="575"/>
      <c r="C74" s="136" t="s">
        <v>200</v>
      </c>
      <c r="D74" s="144">
        <v>1.4414830000000001</v>
      </c>
    </row>
    <row r="75" spans="2:4">
      <c r="B75" s="575"/>
      <c r="C75" s="136" t="s">
        <v>201</v>
      </c>
      <c r="D75" s="144">
        <v>1.468135</v>
      </c>
    </row>
    <row r="76" spans="2:4">
      <c r="B76" s="575"/>
      <c r="C76" s="136" t="s">
        <v>202</v>
      </c>
      <c r="D76" s="144">
        <v>1.497112</v>
      </c>
    </row>
    <row r="77" spans="2:4">
      <c r="B77" s="575"/>
      <c r="C77" s="136" t="s">
        <v>203</v>
      </c>
      <c r="D77" s="144">
        <v>1.5288170000000001</v>
      </c>
    </row>
    <row r="78" spans="2:4">
      <c r="B78" s="575"/>
      <c r="C78" s="136" t="s">
        <v>204</v>
      </c>
      <c r="D78" s="144">
        <v>1.562325</v>
      </c>
    </row>
    <row r="79" spans="2:4">
      <c r="B79" s="575"/>
      <c r="C79" s="136" t="s">
        <v>205</v>
      </c>
      <c r="D79" s="144">
        <v>1.596034</v>
      </c>
    </row>
    <row r="80" spans="2:4">
      <c r="B80" s="575"/>
      <c r="C80" s="136" t="s">
        <v>206</v>
      </c>
      <c r="D80" s="144">
        <v>1.629221</v>
      </c>
    </row>
    <row r="81" spans="2:4">
      <c r="B81" s="575"/>
      <c r="C81" s="136" t="s">
        <v>207</v>
      </c>
      <c r="D81" s="144">
        <v>1.66248</v>
      </c>
    </row>
    <row r="82" spans="2:4">
      <c r="B82" s="575"/>
      <c r="C82" s="136" t="s">
        <v>208</v>
      </c>
      <c r="D82" s="144">
        <v>1.6970559999999999</v>
      </c>
    </row>
    <row r="83" spans="2:4">
      <c r="B83" s="575"/>
      <c r="C83" s="136" t="s">
        <v>209</v>
      </c>
      <c r="D83" s="144">
        <v>1.732807</v>
      </c>
    </row>
    <row r="84" spans="2:4">
      <c r="B84" s="575"/>
      <c r="C84" s="136" t="s">
        <v>210</v>
      </c>
      <c r="D84" s="144">
        <v>1.7703800000000001</v>
      </c>
    </row>
    <row r="85" spans="2:4">
      <c r="B85" s="575"/>
      <c r="C85" s="136" t="s">
        <v>211</v>
      </c>
      <c r="D85" s="144">
        <v>1.8089500000000001</v>
      </c>
    </row>
    <row r="86" spans="2:4">
      <c r="B86" s="575"/>
      <c r="C86" s="136" t="s">
        <v>212</v>
      </c>
      <c r="D86" s="144">
        <v>1.8489139999999999</v>
      </c>
    </row>
    <row r="87" spans="2:4">
      <c r="B87" s="575"/>
      <c r="C87" s="136" t="s">
        <v>213</v>
      </c>
      <c r="D87" s="144">
        <v>1.8900870000000001</v>
      </c>
    </row>
    <row r="88" spans="2:4">
      <c r="B88" s="575"/>
      <c r="C88" s="136" t="s">
        <v>214</v>
      </c>
      <c r="D88" s="144">
        <v>1.932426</v>
      </c>
    </row>
    <row r="89" spans="2:4">
      <c r="B89" s="575"/>
      <c r="C89" s="136" t="s">
        <v>215</v>
      </c>
      <c r="D89" s="144">
        <v>1.974002</v>
      </c>
    </row>
    <row r="90" spans="2:4">
      <c r="B90" s="575"/>
      <c r="C90" s="136" t="s">
        <v>216</v>
      </c>
      <c r="D90" s="144">
        <v>2.0161039999999999</v>
      </c>
    </row>
    <row r="91" spans="2:4">
      <c r="B91" s="576"/>
      <c r="C91" s="145" t="s">
        <v>217</v>
      </c>
      <c r="D91" s="146">
        <v>2.0586570000000002</v>
      </c>
    </row>
    <row r="92" spans="2:4">
      <c r="B92" s="136"/>
      <c r="C92" s="136"/>
      <c r="D92" s="136"/>
    </row>
  </sheetData>
  <mergeCells count="2">
    <mergeCell ref="B4:B62"/>
    <mergeCell ref="B63:B91"/>
  </mergeCells>
  <hyperlinks>
    <hyperlink ref="B4" r:id="rId1"/>
    <hyperlink ref="B63" r:id="rId2"/>
  </hyperlinks>
  <pageMargins left="0.7" right="0.7" top="0.75" bottom="0.75" header="0.3" footer="0.3"/>
</worksheet>
</file>

<file path=xl/worksheets/sheet3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3.xml><?xml version="1.0" encoding="utf-8"?>
<worksheet xmlns="http://schemas.openxmlformats.org/spreadsheetml/2006/main" xmlns:r="http://schemas.openxmlformats.org/officeDocument/2006/relationships">
  <dimension ref="A1:I28"/>
  <sheetViews>
    <sheetView workbookViewId="0">
      <selection activeCell="H34" sqref="H34"/>
    </sheetView>
  </sheetViews>
  <sheetFormatPr defaultColWidth="8.85546875" defaultRowHeight="15"/>
  <cols>
    <col min="2" max="2" width="14.85546875" bestFit="1" customWidth="1"/>
    <col min="3" max="3" width="14.85546875" customWidth="1"/>
    <col min="4" max="4" width="11.85546875" bestFit="1" customWidth="1"/>
    <col min="5" max="5" width="16.7109375" bestFit="1" customWidth="1"/>
  </cols>
  <sheetData>
    <row r="1" spans="1:9">
      <c r="B1" t="s">
        <v>9</v>
      </c>
      <c r="C1" t="s">
        <v>10</v>
      </c>
      <c r="D1" t="s">
        <v>1</v>
      </c>
      <c r="E1" t="s">
        <v>2</v>
      </c>
    </row>
    <row r="2" spans="1:9">
      <c r="A2" t="s">
        <v>0</v>
      </c>
      <c r="B2">
        <v>36</v>
      </c>
      <c r="D2">
        <v>14018.8</v>
      </c>
    </row>
    <row r="3" spans="1:9">
      <c r="A3" t="s">
        <v>0</v>
      </c>
      <c r="B3">
        <v>33</v>
      </c>
      <c r="D3">
        <v>13792.56</v>
      </c>
    </row>
    <row r="4" spans="1:9">
      <c r="A4" t="s">
        <v>0</v>
      </c>
      <c r="B4">
        <v>28</v>
      </c>
      <c r="D4">
        <v>14392.5</v>
      </c>
      <c r="E4">
        <v>599.94000000000005</v>
      </c>
    </row>
    <row r="5" spans="1:9">
      <c r="A5" t="s">
        <v>0</v>
      </c>
      <c r="B5">
        <v>33</v>
      </c>
      <c r="D5">
        <v>14712.67</v>
      </c>
      <c r="E5">
        <v>920.11</v>
      </c>
      <c r="I5" t="s">
        <v>109</v>
      </c>
    </row>
    <row r="6" spans="1:9">
      <c r="A6" t="s">
        <v>0</v>
      </c>
      <c r="B6">
        <v>30</v>
      </c>
      <c r="D6">
        <v>15150</v>
      </c>
      <c r="E6">
        <v>1357.44</v>
      </c>
    </row>
    <row r="7" spans="1:9">
      <c r="A7" t="s">
        <v>0</v>
      </c>
      <c r="B7">
        <v>33</v>
      </c>
      <c r="D7">
        <v>15135.86</v>
      </c>
    </row>
    <row r="8" spans="1:9">
      <c r="A8" t="s">
        <v>3</v>
      </c>
      <c r="B8">
        <v>22</v>
      </c>
      <c r="D8">
        <v>15541.88</v>
      </c>
      <c r="E8">
        <v>406.02</v>
      </c>
    </row>
    <row r="9" spans="1:9">
      <c r="A9" t="s">
        <v>3</v>
      </c>
      <c r="B9">
        <v>23</v>
      </c>
      <c r="D9">
        <v>15962.04</v>
      </c>
      <c r="E9">
        <v>826.18</v>
      </c>
    </row>
    <row r="10" spans="1:9">
      <c r="A10" t="s">
        <v>0</v>
      </c>
      <c r="B10">
        <v>31</v>
      </c>
      <c r="D10">
        <v>17018.5</v>
      </c>
      <c r="E10">
        <v>1882.64</v>
      </c>
    </row>
    <row r="11" spans="1:9">
      <c r="A11" t="s">
        <v>4</v>
      </c>
      <c r="B11">
        <v>41</v>
      </c>
      <c r="D11">
        <v>19474.82</v>
      </c>
      <c r="E11">
        <v>4338.96</v>
      </c>
    </row>
    <row r="12" spans="1:9">
      <c r="A12" t="s">
        <v>4</v>
      </c>
      <c r="B12">
        <v>50</v>
      </c>
      <c r="D12">
        <v>24353.119999999999</v>
      </c>
      <c r="E12">
        <v>9217.26</v>
      </c>
    </row>
    <row r="13" spans="1:9">
      <c r="A13" t="s">
        <v>5</v>
      </c>
      <c r="B13">
        <v>28</v>
      </c>
      <c r="D13">
        <v>26169.1</v>
      </c>
      <c r="E13">
        <v>11033.24</v>
      </c>
    </row>
    <row r="14" spans="1:9">
      <c r="A14" t="s">
        <v>6</v>
      </c>
      <c r="B14">
        <v>112</v>
      </c>
      <c r="D14">
        <v>29589.97</v>
      </c>
      <c r="E14">
        <v>14454.11</v>
      </c>
    </row>
    <row r="15" spans="1:9">
      <c r="A15" t="s">
        <v>6</v>
      </c>
      <c r="B15">
        <v>99</v>
      </c>
      <c r="D15">
        <v>35438.879999999997</v>
      </c>
      <c r="E15">
        <v>20303.02</v>
      </c>
    </row>
    <row r="16" spans="1:9">
      <c r="A16" t="s">
        <v>6</v>
      </c>
      <c r="B16">
        <v>105</v>
      </c>
      <c r="D16">
        <v>35643.910000000003</v>
      </c>
      <c r="E16">
        <v>20508.05</v>
      </c>
    </row>
    <row r="17" spans="1:6">
      <c r="A17" t="s">
        <v>7</v>
      </c>
      <c r="B17">
        <v>93</v>
      </c>
      <c r="C17">
        <v>37</v>
      </c>
      <c r="D17">
        <v>37370</v>
      </c>
      <c r="E17">
        <v>22234.14</v>
      </c>
      <c r="F17" t="s">
        <v>8</v>
      </c>
    </row>
    <row r="18" spans="1:6">
      <c r="A18" t="s">
        <v>0</v>
      </c>
      <c r="B18">
        <v>24</v>
      </c>
      <c r="D18">
        <v>14948</v>
      </c>
    </row>
    <row r="19" spans="1:6">
      <c r="A19" t="s">
        <v>3</v>
      </c>
      <c r="B19">
        <v>18</v>
      </c>
      <c r="D19">
        <v>16059</v>
      </c>
      <c r="E19">
        <v>1111</v>
      </c>
    </row>
    <row r="20" spans="1:6">
      <c r="A20" t="s">
        <v>4</v>
      </c>
      <c r="B20">
        <v>37</v>
      </c>
      <c r="D20">
        <v>24530.880000000001</v>
      </c>
      <c r="E20">
        <v>9582.8799999999992</v>
      </c>
    </row>
    <row r="21" spans="1:6">
      <c r="A21" t="s">
        <v>4</v>
      </c>
      <c r="B21">
        <v>39</v>
      </c>
      <c r="D21">
        <v>25892.36</v>
      </c>
      <c r="E21">
        <v>10944.36</v>
      </c>
    </row>
    <row r="22" spans="1:6">
      <c r="A22" t="s">
        <v>3</v>
      </c>
      <c r="B22">
        <v>16</v>
      </c>
      <c r="D22">
        <v>16059</v>
      </c>
    </row>
    <row r="23" spans="1:6">
      <c r="A23" t="s">
        <v>3</v>
      </c>
      <c r="B23">
        <v>16</v>
      </c>
      <c r="D23">
        <v>19356.650000000001</v>
      </c>
    </row>
    <row r="24" spans="1:6">
      <c r="A24" t="s">
        <v>3</v>
      </c>
      <c r="B24">
        <v>16</v>
      </c>
      <c r="D24">
        <v>17018.5</v>
      </c>
    </row>
    <row r="25" spans="1:6">
      <c r="A25" t="s">
        <v>3</v>
      </c>
      <c r="B25">
        <v>15</v>
      </c>
      <c r="D25">
        <v>20957.5</v>
      </c>
    </row>
    <row r="26" spans="1:6">
      <c r="A26" t="s">
        <v>3</v>
      </c>
      <c r="B26">
        <v>15</v>
      </c>
      <c r="D26">
        <v>22189.7</v>
      </c>
    </row>
    <row r="27" spans="1:6">
      <c r="A27" t="s">
        <v>3</v>
      </c>
      <c r="B27">
        <v>15</v>
      </c>
      <c r="D27">
        <v>27724.5</v>
      </c>
    </row>
    <row r="28" spans="1:6">
      <c r="A28" t="s">
        <v>4</v>
      </c>
      <c r="B28">
        <v>29</v>
      </c>
      <c r="D28">
        <v>27219.5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B1:J85"/>
  <sheetViews>
    <sheetView workbookViewId="0">
      <selection activeCell="D52" sqref="D52"/>
    </sheetView>
  </sheetViews>
  <sheetFormatPr defaultColWidth="8.85546875" defaultRowHeight="15"/>
  <cols>
    <col min="2" max="2" width="28.7109375" customWidth="1"/>
    <col min="3" max="3" width="18.85546875" customWidth="1"/>
    <col min="4" max="6" width="20.7109375" customWidth="1"/>
    <col min="7" max="7" width="10" bestFit="1" customWidth="1"/>
    <col min="8" max="8" width="13.42578125" customWidth="1"/>
    <col min="9" max="9" width="14" customWidth="1"/>
  </cols>
  <sheetData>
    <row r="1" spans="2:9">
      <c r="D1" s="454"/>
    </row>
    <row r="2" spans="2:9" ht="15.75" thickBot="1">
      <c r="C2" s="3" t="s">
        <v>96</v>
      </c>
    </row>
    <row r="3" spans="2:9">
      <c r="B3" s="209" t="s">
        <v>105</v>
      </c>
      <c r="C3" s="237">
        <v>150000</v>
      </c>
    </row>
    <row r="4" spans="2:9">
      <c r="B4" s="113" t="s">
        <v>106</v>
      </c>
      <c r="C4" s="238">
        <v>12</v>
      </c>
      <c r="D4" t="s">
        <v>108</v>
      </c>
    </row>
    <row r="5" spans="2:9">
      <c r="B5" s="113" t="s">
        <v>2240</v>
      </c>
      <c r="C5" s="239">
        <v>0.04</v>
      </c>
    </row>
    <row r="6" spans="2:9">
      <c r="B6" s="113"/>
      <c r="C6" s="239"/>
    </row>
    <row r="7" spans="2:9" ht="15.75" thickBot="1">
      <c r="B7" s="119" t="s">
        <v>104</v>
      </c>
      <c r="C7" s="248">
        <f>C5-C6</f>
        <v>0.04</v>
      </c>
      <c r="D7" s="1"/>
      <c r="E7" s="1"/>
      <c r="F7" s="1"/>
    </row>
    <row r="8" spans="2:9">
      <c r="B8" s="113"/>
      <c r="C8" s="228"/>
      <c r="D8" s="1"/>
      <c r="E8" s="1"/>
      <c r="F8" s="1"/>
    </row>
    <row r="9" spans="2:9">
      <c r="B9" s="240" t="s">
        <v>49</v>
      </c>
      <c r="C9" s="228"/>
    </row>
    <row r="10" spans="2:9">
      <c r="B10" s="113" t="s">
        <v>2479</v>
      </c>
      <c r="C10" s="241">
        <f>GAS_PRICE_CURRENT</f>
        <v>3.2797510085441877</v>
      </c>
      <c r="D10" s="84"/>
      <c r="E10" s="84"/>
      <c r="F10" s="84"/>
      <c r="G10" s="112"/>
      <c r="H10" s="84"/>
      <c r="I10" s="84"/>
    </row>
    <row r="11" spans="2:9">
      <c r="B11" s="113" t="s">
        <v>11</v>
      </c>
      <c r="C11" s="244">
        <f>'b-GREET 1 2011 Vehicle'!B3</f>
        <v>24.81</v>
      </c>
    </row>
    <row r="12" spans="2:9">
      <c r="B12" s="113"/>
      <c r="C12" s="228"/>
    </row>
    <row r="13" spans="2:9">
      <c r="B13" s="240" t="s">
        <v>90</v>
      </c>
      <c r="C13" s="228"/>
    </row>
    <row r="14" spans="2:9">
      <c r="B14" s="113" t="s">
        <v>2479</v>
      </c>
      <c r="C14" s="242">
        <f>E85_PRICE_CURRENT</f>
        <v>4.3210962842540637</v>
      </c>
    </row>
    <row r="15" spans="2:9">
      <c r="B15" s="113" t="s">
        <v>11</v>
      </c>
      <c r="C15" s="243">
        <f>'b-GREET 1 2011 Vehicle'!G3</f>
        <v>24.81</v>
      </c>
    </row>
    <row r="16" spans="2:9">
      <c r="B16" s="113"/>
      <c r="C16" s="228"/>
    </row>
    <row r="17" spans="2:3">
      <c r="B17" s="240" t="s">
        <v>113</v>
      </c>
      <c r="C17" s="228"/>
    </row>
    <row r="18" spans="2:3">
      <c r="B18" s="113" t="s">
        <v>2479</v>
      </c>
      <c r="C18" s="242">
        <f>GAS_PRICE_2010DOLLARS</f>
        <v>3.2797510085441877</v>
      </c>
    </row>
    <row r="19" spans="2:3">
      <c r="B19" s="113" t="s">
        <v>11</v>
      </c>
      <c r="C19" s="244">
        <f>'b-GREET 1 2011 Vehicle'!M3</f>
        <v>34.733999999999995</v>
      </c>
    </row>
    <row r="20" spans="2:3">
      <c r="B20" s="113"/>
      <c r="C20" s="228"/>
    </row>
    <row r="21" spans="2:3">
      <c r="B21" s="245" t="s">
        <v>51</v>
      </c>
      <c r="C21" s="228"/>
    </row>
    <row r="22" spans="2:3">
      <c r="B22" s="113" t="s">
        <v>2476</v>
      </c>
      <c r="C22" s="244">
        <f>ELECTRICITY_CURRENT</f>
        <v>9.4694294697729817E-2</v>
      </c>
    </row>
    <row r="23" spans="2:3">
      <c r="B23" s="113" t="s">
        <v>99</v>
      </c>
      <c r="C23" s="244">
        <v>2.7344185962964795</v>
      </c>
    </row>
    <row r="24" spans="2:3">
      <c r="B24" s="113" t="s">
        <v>101</v>
      </c>
      <c r="C24" s="453">
        <v>0.88</v>
      </c>
    </row>
    <row r="25" spans="2:3">
      <c r="B25" s="113"/>
      <c r="C25" s="228"/>
    </row>
    <row r="26" spans="2:3">
      <c r="B26" s="240" t="s">
        <v>50</v>
      </c>
      <c r="C26" s="228"/>
    </row>
    <row r="27" spans="2:3">
      <c r="B27" s="113" t="s">
        <v>2477</v>
      </c>
      <c r="C27" s="242">
        <f>CNGPRICE_CURRENT</f>
        <v>2.0729583525813409</v>
      </c>
    </row>
    <row r="28" spans="2:3">
      <c r="B28" s="223" t="s">
        <v>11</v>
      </c>
      <c r="C28" s="246">
        <f>'b-GREET 1 2011 Vehicle'!D3</f>
        <v>25.554299999999998</v>
      </c>
    </row>
    <row r="29" spans="2:3">
      <c r="B29" s="223"/>
      <c r="C29" s="246"/>
    </row>
    <row r="30" spans="2:3">
      <c r="B30" s="240" t="s">
        <v>114</v>
      </c>
      <c r="C30" s="246"/>
    </row>
    <row r="31" spans="2:3">
      <c r="B31" s="113" t="s">
        <v>2478</v>
      </c>
      <c r="C31" s="247">
        <f>HYDROGEN_CURRENT</f>
        <v>3.3965373946051085</v>
      </c>
    </row>
    <row r="32" spans="2:3">
      <c r="B32" s="223" t="s">
        <v>11</v>
      </c>
      <c r="C32" s="246">
        <f>'b-GREET 1 2011 Vehicle'!Q3</f>
        <v>58.725269999999995</v>
      </c>
    </row>
    <row r="33" spans="2:9">
      <c r="B33" s="223"/>
      <c r="C33" s="246"/>
    </row>
    <row r="34" spans="2:9">
      <c r="B34" s="240" t="s">
        <v>87</v>
      </c>
      <c r="C34" s="246"/>
    </row>
    <row r="35" spans="2:9">
      <c r="B35" s="223" t="s">
        <v>2230</v>
      </c>
      <c r="C35" s="506">
        <f>0.098</f>
        <v>9.8000000000000004E-2</v>
      </c>
      <c r="D35" s="383" t="s">
        <v>2502</v>
      </c>
    </row>
    <row r="36" spans="2:9" ht="15.75" thickBot="1">
      <c r="B36" s="229" t="s">
        <v>2231</v>
      </c>
      <c r="C36" s="507">
        <v>0.3</v>
      </c>
      <c r="D36" t="s">
        <v>2254</v>
      </c>
    </row>
    <row r="37" spans="2:9">
      <c r="B37" s="273"/>
      <c r="C37" s="274"/>
    </row>
    <row r="38" spans="2:9" ht="15.75" thickBot="1">
      <c r="B38" s="3" t="s">
        <v>2252</v>
      </c>
    </row>
    <row r="39" spans="2:9">
      <c r="B39" s="198" t="s">
        <v>2529</v>
      </c>
      <c r="C39" s="249">
        <f>F42</f>
        <v>23.549781386925279</v>
      </c>
      <c r="D39" s="198" t="s">
        <v>2239</v>
      </c>
      <c r="E39" s="250" t="s">
        <v>2241</v>
      </c>
      <c r="F39" s="251" t="s">
        <v>2242</v>
      </c>
      <c r="H39" t="s">
        <v>2246</v>
      </c>
    </row>
    <row r="40" spans="2:9">
      <c r="B40" s="113"/>
      <c r="C40" s="110"/>
      <c r="D40" s="240">
        <v>2010</v>
      </c>
      <c r="E40" s="252">
        <v>21.4</v>
      </c>
      <c r="F40" s="253">
        <f>E40*deflator!$D$66/deflator!$D$63</f>
        <v>22.538699538470524</v>
      </c>
    </row>
    <row r="41" spans="2:9">
      <c r="B41" s="113"/>
      <c r="C41" s="110"/>
      <c r="D41" s="240">
        <v>2011</v>
      </c>
      <c r="E41" s="252">
        <v>21.88</v>
      </c>
      <c r="F41" s="253">
        <f>E41*deflator!$D$66/deflator!$D$63</f>
        <v>23.0442404626979</v>
      </c>
    </row>
    <row r="42" spans="2:9">
      <c r="B42" s="113"/>
      <c r="C42" s="110"/>
      <c r="D42" s="240">
        <v>2012</v>
      </c>
      <c r="E42" s="252">
        <v>22.36</v>
      </c>
      <c r="F42" s="254">
        <f>E42*deflator!$D$66/deflator!$D$63</f>
        <v>23.549781386925279</v>
      </c>
    </row>
    <row r="43" spans="2:9">
      <c r="B43" s="113"/>
      <c r="C43" s="110"/>
      <c r="D43" s="240">
        <v>2013</v>
      </c>
      <c r="E43" s="252">
        <v>22.84</v>
      </c>
      <c r="F43" s="253">
        <f>E43*deflator!$D$66/deflator!$D$63</f>
        <v>24.055322311152654</v>
      </c>
    </row>
    <row r="44" spans="2:9">
      <c r="B44" s="113"/>
      <c r="C44" s="110"/>
      <c r="D44" s="240">
        <v>2014</v>
      </c>
      <c r="E44" s="252">
        <v>23.32</v>
      </c>
      <c r="F44" s="253">
        <f>E44*deflator!$D$66/deflator!$D$63</f>
        <v>24.56086323538003</v>
      </c>
    </row>
    <row r="45" spans="2:9" ht="15.75" thickBot="1">
      <c r="B45" s="119"/>
      <c r="C45" s="120"/>
      <c r="D45" s="257">
        <v>2015</v>
      </c>
      <c r="E45" s="255">
        <v>23.8</v>
      </c>
      <c r="F45" s="256">
        <f>E45*deflator!$D$66/deflator!$D$63</f>
        <v>25.066404159607405</v>
      </c>
    </row>
    <row r="46" spans="2:9">
      <c r="B46" s="9"/>
      <c r="C46" s="219"/>
    </row>
    <row r="47" spans="2:9" ht="15.75" thickBot="1">
      <c r="B47" s="3" t="s">
        <v>2532</v>
      </c>
      <c r="C47" s="219"/>
    </row>
    <row r="48" spans="2:9" ht="60.75" thickBot="1">
      <c r="B48" s="232"/>
      <c r="C48" s="233" t="s">
        <v>2234</v>
      </c>
      <c r="D48" s="233" t="s">
        <v>2235</v>
      </c>
      <c r="E48" s="233" t="s">
        <v>2530</v>
      </c>
      <c r="F48" s="233" t="s">
        <v>2531</v>
      </c>
      <c r="G48" s="234"/>
      <c r="H48" s="233" t="s">
        <v>2232</v>
      </c>
      <c r="I48" s="235" t="s">
        <v>2233</v>
      </c>
    </row>
    <row r="49" spans="2:10">
      <c r="B49" s="223" t="s">
        <v>2212</v>
      </c>
      <c r="C49" s="224">
        <f>H49*deflator!$D$66/deflator!$D$63</f>
        <v>7.5479366407664894E-4</v>
      </c>
      <c r="D49" s="224">
        <f>I49*deflator!$D$66/deflator!$D$63</f>
        <v>4.0232631886428687E-3</v>
      </c>
      <c r="E49" s="224">
        <f>(1-C36)*((1-C35)*'12b-energy-emission-factors'!L14+C35*'12b-energy-emission-factors'!L18)+C36*((1-C35)*'12b-energy-emission-factors'!L6+C35*'12b-energy-emission-factors'!L10)</f>
        <v>30.401978319384352</v>
      </c>
      <c r="F49" s="224">
        <f>(1-C36)*((1-C35)*'12b-energy-emission-factors'!L15+C35*'12b-energy-emission-factors'!L19)+C36*((1-C35)*'12b-energy-emission-factors'!L7+C35*'12b-energy-emission-factors'!L11)</f>
        <v>72.996693755276482</v>
      </c>
      <c r="G49" s="110"/>
      <c r="H49" s="225">
        <f>(1-RFG_SHARE)*((1-TAR_SANDS)*0.0007+TAR_SANDS*0.0009)+RFG_SHARE*((1-TAR_SANDS)*0.0007+TAR_SANDS*0.0008)</f>
        <v>7.1666000000000004E-4</v>
      </c>
      <c r="I49" s="226">
        <f>(1-RFG_SHARE)*((1-TAR_SANDS)*0.0037+TAR_SANDS*0.0037)+RFG_SHARE*((1-TAR_SANDS)*0.0041+TAR_SANDS*0.0041)</f>
        <v>3.8199999999999996E-3</v>
      </c>
      <c r="J49" s="383" t="s">
        <v>2503</v>
      </c>
    </row>
    <row r="50" spans="2:10">
      <c r="B50" s="223" t="s">
        <v>3</v>
      </c>
      <c r="C50" s="224">
        <f>H50*deflator!$D$66/deflator!$D$63</f>
        <v>2.6330256470175847E-3</v>
      </c>
      <c r="D50" s="224">
        <f>I50*deflator!$D$66/deflator!$D$63</f>
        <v>4.2128410352281357E-3</v>
      </c>
      <c r="E50" s="224">
        <f>'12b-energy-emission-factors'!L34</f>
        <v>-173.44047593894274</v>
      </c>
      <c r="F50" s="224">
        <f>'12b-energy-emission-factors'!L35</f>
        <v>81.945241815193398</v>
      </c>
      <c r="G50" s="224"/>
      <c r="H50" s="225">
        <f>0.0025</f>
        <v>2.5000000000000001E-3</v>
      </c>
      <c r="I50" s="227">
        <v>4.0000000000000001E-3</v>
      </c>
    </row>
    <row r="51" spans="2:10">
      <c r="B51" s="223" t="s">
        <v>5</v>
      </c>
      <c r="C51" s="224">
        <f>H51*deflator!$D$66/deflator!$D$63</f>
        <v>9.478892329263305E-4</v>
      </c>
      <c r="D51" s="224">
        <f>I51*deflator!$D$66/deflator!$D$63</f>
        <v>2.9489887246596947E-3</v>
      </c>
      <c r="E51" s="224">
        <f>'12b-energy-emission-factors'!L30</f>
        <v>64.434339719443514</v>
      </c>
      <c r="F51" s="224">
        <f>'12b-energy-emission-factors'!L31</f>
        <v>36.072714662833519</v>
      </c>
      <c r="G51" s="224"/>
      <c r="H51" s="225">
        <v>8.9999999999999998E-4</v>
      </c>
      <c r="I51" s="228">
        <v>2.8E-3</v>
      </c>
    </row>
    <row r="52" spans="2:10">
      <c r="B52" s="223" t="s">
        <v>2216</v>
      </c>
      <c r="C52" s="224">
        <f>H52*deflator!$D$66/deflator!$D$63</f>
        <v>4.2128410352281355E-4</v>
      </c>
      <c r="D52" s="224">
        <f>I52*deflator!$D$66/deflator!$D$63</f>
        <v>5.7926564234386862E-3</v>
      </c>
      <c r="E52" s="224">
        <f>'12b-energy-emission-factors'!L70</f>
        <v>26.614183797212739</v>
      </c>
      <c r="F52" s="224">
        <f>'12b-energy-emission-factors'!L71</f>
        <v>250.13560984982496</v>
      </c>
      <c r="G52" s="110"/>
      <c r="H52" s="225">
        <v>4.0000000000000002E-4</v>
      </c>
      <c r="I52" s="228">
        <v>5.4999999999999997E-3</v>
      </c>
    </row>
    <row r="53" spans="2:10" ht="15.75" thickBot="1">
      <c r="B53" s="229" t="s">
        <v>2209</v>
      </c>
      <c r="C53" s="230">
        <f>H53*deflator!$D$66/deflator!$D$63</f>
        <v>2.4223835952561779E-3</v>
      </c>
      <c r="D53" s="230">
        <f>I53*deflator!$D$66/deflator!$D$63</f>
        <v>8.7416451480983801E-3</v>
      </c>
      <c r="E53" s="230">
        <f>'12b-energy-emission-factors'!L66</f>
        <v>24.988298885843477</v>
      </c>
      <c r="F53" s="230">
        <f>'12b-energy-emission-factors'!L67</f>
        <v>381.2023405641209</v>
      </c>
      <c r="G53" s="120"/>
      <c r="H53" s="231">
        <v>2.3E-3</v>
      </c>
      <c r="I53" s="121">
        <v>8.3000000000000001E-3</v>
      </c>
    </row>
    <row r="54" spans="2:10" s="383" customFormat="1">
      <c r="B54" s="383" t="s">
        <v>2525</v>
      </c>
      <c r="C54" s="224"/>
      <c r="D54" s="224"/>
      <c r="E54" s="224"/>
      <c r="F54" s="224"/>
      <c r="G54" s="110"/>
      <c r="H54" s="460"/>
      <c r="I54" s="110"/>
    </row>
    <row r="55" spans="2:10">
      <c r="B55" s="9"/>
      <c r="C55" s="221"/>
      <c r="D55" s="221"/>
      <c r="E55" s="221"/>
      <c r="F55" s="221"/>
      <c r="H55" s="220"/>
    </row>
    <row r="56" spans="2:10" ht="15.75" thickBot="1">
      <c r="B56" s="3" t="s">
        <v>2243</v>
      </c>
    </row>
    <row r="57" spans="2:10">
      <c r="B57" s="209" t="s">
        <v>19</v>
      </c>
      <c r="C57" s="473">
        <v>447.51923929139241</v>
      </c>
    </row>
    <row r="58" spans="2:10">
      <c r="B58" s="113" t="s">
        <v>15</v>
      </c>
      <c r="C58" s="474">
        <v>2576.8086805179951</v>
      </c>
      <c r="E58" s="383"/>
    </row>
    <row r="59" spans="2:10">
      <c r="B59" s="113" t="s">
        <v>18</v>
      </c>
      <c r="C59" s="474">
        <v>4763.4719480374961</v>
      </c>
      <c r="E59" s="383"/>
    </row>
    <row r="60" spans="2:10">
      <c r="B60" s="113" t="s">
        <v>16</v>
      </c>
      <c r="C60" s="474">
        <v>31966.279879509271</v>
      </c>
      <c r="E60" s="383"/>
    </row>
    <row r="61" spans="2:10">
      <c r="B61" s="113" t="s">
        <v>17</v>
      </c>
      <c r="C61" s="474">
        <v>12735.076560871825</v>
      </c>
      <c r="E61" s="383"/>
    </row>
    <row r="62" spans="2:10" ht="15.75" thickBot="1">
      <c r="B62" s="119" t="s">
        <v>14</v>
      </c>
      <c r="C62" s="206">
        <v>2400.313919993433</v>
      </c>
      <c r="D62" s="383"/>
      <c r="E62" s="383"/>
    </row>
    <row r="63" spans="2:10" s="383" customFormat="1">
      <c r="B63" t="s">
        <v>2245</v>
      </c>
      <c r="C63" s="110"/>
    </row>
    <row r="65" spans="2:4" ht="15.75" thickBot="1">
      <c r="B65" s="3" t="s">
        <v>2244</v>
      </c>
    </row>
    <row r="66" spans="2:4">
      <c r="B66" s="209" t="s">
        <v>14</v>
      </c>
      <c r="C66" s="200">
        <v>7159</v>
      </c>
    </row>
    <row r="67" spans="2:4">
      <c r="B67" s="113" t="s">
        <v>19</v>
      </c>
      <c r="C67" s="228">
        <v>886</v>
      </c>
    </row>
    <row r="68" spans="2:4">
      <c r="B68" s="113" t="s">
        <v>15</v>
      </c>
      <c r="C68" s="228">
        <v>3445</v>
      </c>
    </row>
    <row r="69" spans="2:4">
      <c r="B69" s="113" t="s">
        <v>18</v>
      </c>
      <c r="C69" s="228">
        <v>11644</v>
      </c>
    </row>
    <row r="70" spans="2:4">
      <c r="B70" s="113" t="s">
        <v>16</v>
      </c>
      <c r="C70" s="228">
        <v>75850</v>
      </c>
    </row>
    <row r="71" spans="2:4" ht="15.75" thickBot="1">
      <c r="B71" s="119" t="s">
        <v>17</v>
      </c>
      <c r="C71" s="121">
        <v>25512</v>
      </c>
    </row>
    <row r="72" spans="2:4" s="383" customFormat="1">
      <c r="B72" t="s">
        <v>2245</v>
      </c>
      <c r="C72" s="110"/>
    </row>
    <row r="74" spans="2:4" ht="15.75" thickBot="1">
      <c r="B74" s="270" t="s">
        <v>2516</v>
      </c>
      <c r="C74" s="110"/>
      <c r="D74" s="110"/>
    </row>
    <row r="75" spans="2:4" ht="30.75" thickBot="1">
      <c r="B75" s="110"/>
      <c r="C75" s="271" t="s">
        <v>2211</v>
      </c>
      <c r="D75" s="272" t="s">
        <v>2208</v>
      </c>
    </row>
    <row r="76" spans="2:4">
      <c r="B76" s="124" t="s">
        <v>19</v>
      </c>
      <c r="C76" s="455">
        <v>2.3820301640917946E-8</v>
      </c>
      <c r="D76" s="456">
        <v>1.0453645766968148E-6</v>
      </c>
    </row>
    <row r="77" spans="2:4">
      <c r="B77" s="259" t="s">
        <v>218</v>
      </c>
      <c r="C77" s="455">
        <v>0</v>
      </c>
      <c r="D77" s="456">
        <v>0</v>
      </c>
    </row>
    <row r="78" spans="2:4">
      <c r="B78" s="259" t="s">
        <v>100</v>
      </c>
      <c r="C78" s="455">
        <v>9.7824053855435966E-7</v>
      </c>
      <c r="D78" s="456">
        <v>1.4462978144010267E-3</v>
      </c>
    </row>
    <row r="79" spans="2:4">
      <c r="B79" s="259" t="s">
        <v>18</v>
      </c>
      <c r="C79" s="455">
        <v>1.0676550281485921E-6</v>
      </c>
      <c r="D79" s="456">
        <v>6.1559486024484336E-4</v>
      </c>
    </row>
    <row r="80" spans="2:4">
      <c r="B80" s="259" t="s">
        <v>16</v>
      </c>
      <c r="C80" s="455">
        <v>3.4948052670963232E-7</v>
      </c>
      <c r="D80" s="456">
        <v>1.7282739054597447E-3</v>
      </c>
    </row>
    <row r="81" spans="2:4">
      <c r="B81" s="259" t="s">
        <v>17</v>
      </c>
      <c r="C81" s="457">
        <v>2.4449800003622469E-6</v>
      </c>
      <c r="D81" s="456">
        <v>1.5628622172764801E-2</v>
      </c>
    </row>
    <row r="82" spans="2:4">
      <c r="B82" s="259" t="s">
        <v>14</v>
      </c>
      <c r="C82" s="455">
        <v>4.8735392492410717E-8</v>
      </c>
      <c r="D82" s="456">
        <v>1.0900324077016369E-5</v>
      </c>
    </row>
    <row r="83" spans="2:4">
      <c r="B83" s="259"/>
      <c r="C83" s="455"/>
      <c r="D83" s="456"/>
    </row>
    <row r="84" spans="2:4" ht="15.75" thickBot="1">
      <c r="B84" s="260" t="s">
        <v>48</v>
      </c>
      <c r="C84" s="458">
        <v>6.1294607839702624E-4</v>
      </c>
      <c r="D84" s="459"/>
    </row>
    <row r="85" spans="2:4">
      <c r="B85" t="s">
        <v>2245</v>
      </c>
    </row>
  </sheetData>
  <pageMargins left="0.7" right="0.7" top="0.75" bottom="0.75" header="0.3" footer="0.3"/>
  <pageSetup orientation="portrait"/>
</worksheet>
</file>

<file path=xl/worksheets/sheet5.xml><?xml version="1.0" encoding="utf-8"?>
<worksheet xmlns="http://schemas.openxmlformats.org/spreadsheetml/2006/main" xmlns:r="http://schemas.openxmlformats.org/officeDocument/2006/relationships">
  <sheetPr>
    <tabColor theme="6"/>
  </sheetPr>
  <dimension ref="A1:H43"/>
  <sheetViews>
    <sheetView topLeftCell="A10" workbookViewId="0">
      <selection activeCell="A38" sqref="A38:E38"/>
    </sheetView>
  </sheetViews>
  <sheetFormatPr defaultRowHeight="12.75"/>
  <cols>
    <col min="1" max="1" width="30.7109375" style="295" customWidth="1"/>
    <col min="2" max="5" width="9.7109375" style="295" customWidth="1"/>
    <col min="6" max="16384" width="9.140625" style="295"/>
  </cols>
  <sheetData>
    <row r="1" spans="1:8">
      <c r="A1" s="374" t="s">
        <v>2474</v>
      </c>
    </row>
    <row r="2" spans="1:8">
      <c r="A2" s="374" t="s">
        <v>2473</v>
      </c>
    </row>
    <row r="3" spans="1:8">
      <c r="A3" s="374" t="s">
        <v>2472</v>
      </c>
      <c r="C3" s="420"/>
    </row>
    <row r="5" spans="1:8" ht="13.5" thickBot="1">
      <c r="A5" s="542" t="s">
        <v>2471</v>
      </c>
      <c r="B5" s="543"/>
      <c r="C5" s="543"/>
      <c r="D5" s="543"/>
      <c r="E5" s="543"/>
    </row>
    <row r="6" spans="1:8" ht="23.25" thickBot="1">
      <c r="A6" s="544" t="s">
        <v>2470</v>
      </c>
      <c r="B6" s="373" t="s">
        <v>2469</v>
      </c>
      <c r="C6" s="373" t="s">
        <v>2468</v>
      </c>
      <c r="D6" s="373" t="s">
        <v>2467</v>
      </c>
      <c r="E6" s="544" t="s">
        <v>26</v>
      </c>
    </row>
    <row r="7" spans="1:8" ht="13.5" thickBot="1">
      <c r="A7" s="544"/>
      <c r="B7" s="373" t="s">
        <v>26</v>
      </c>
      <c r="C7" s="373" t="s">
        <v>26</v>
      </c>
      <c r="D7" s="373" t="s">
        <v>26</v>
      </c>
      <c r="E7" s="544"/>
    </row>
    <row r="8" spans="1:8" ht="15">
      <c r="A8" s="372" t="s">
        <v>2466</v>
      </c>
      <c r="B8" s="371">
        <v>418</v>
      </c>
      <c r="C8" s="371"/>
      <c r="D8" s="370"/>
      <c r="E8" s="370"/>
      <c r="H8" s="369"/>
    </row>
    <row r="9" spans="1:8" ht="15">
      <c r="A9" s="372" t="s">
        <v>2460</v>
      </c>
      <c r="B9" s="371">
        <v>410</v>
      </c>
      <c r="C9" s="371">
        <v>775</v>
      </c>
      <c r="D9" s="370">
        <v>2537</v>
      </c>
      <c r="E9" s="370">
        <v>3722</v>
      </c>
      <c r="H9" s="369"/>
    </row>
    <row r="10" spans="1:8" ht="15">
      <c r="A10" s="372" t="s">
        <v>2459</v>
      </c>
      <c r="B10" s="371">
        <v>8</v>
      </c>
      <c r="C10" s="371">
        <v>40</v>
      </c>
      <c r="D10" s="371">
        <v>0</v>
      </c>
      <c r="E10" s="371">
        <v>48</v>
      </c>
      <c r="H10" s="369"/>
    </row>
    <row r="11" spans="1:8" ht="15">
      <c r="A11" s="545"/>
      <c r="B11" s="546"/>
      <c r="C11" s="546"/>
      <c r="D11" s="546"/>
      <c r="E11" s="546"/>
      <c r="H11" s="369"/>
    </row>
    <row r="12" spans="1:8" ht="15">
      <c r="A12" s="372" t="s">
        <v>2465</v>
      </c>
      <c r="B12" s="370">
        <v>2226</v>
      </c>
      <c r="C12" s="371">
        <v>4</v>
      </c>
      <c r="D12" s="371">
        <v>25</v>
      </c>
      <c r="E12" s="370">
        <v>2255</v>
      </c>
      <c r="H12" s="369">
        <f>B12/$B$30</f>
        <v>2.1054881734180698E-3</v>
      </c>
    </row>
    <row r="13" spans="1:8" ht="15">
      <c r="A13" s="545"/>
      <c r="B13" s="546"/>
      <c r="C13" s="546"/>
      <c r="D13" s="546"/>
      <c r="E13" s="546"/>
      <c r="H13" s="369"/>
    </row>
    <row r="14" spans="1:8" ht="15">
      <c r="A14" s="372" t="s">
        <v>2464</v>
      </c>
      <c r="B14" s="370">
        <v>793251</v>
      </c>
      <c r="C14" s="370">
        <v>12424</v>
      </c>
      <c r="D14" s="371">
        <v>102</v>
      </c>
      <c r="E14" s="370">
        <v>805777</v>
      </c>
      <c r="H14" s="369">
        <f>B14/$B$30</f>
        <v>0.75030574979876796</v>
      </c>
    </row>
    <row r="15" spans="1:8" ht="15">
      <c r="A15" s="545"/>
      <c r="B15" s="546"/>
      <c r="C15" s="546"/>
      <c r="D15" s="546"/>
      <c r="E15" s="546"/>
      <c r="H15" s="369"/>
    </row>
    <row r="16" spans="1:8" ht="15">
      <c r="A16" s="372" t="s">
        <v>2463</v>
      </c>
      <c r="B16" s="371">
        <v>18</v>
      </c>
      <c r="C16" s="371">
        <v>0</v>
      </c>
      <c r="D16" s="371">
        <v>8</v>
      </c>
      <c r="E16" s="371">
        <v>26</v>
      </c>
      <c r="H16" s="369">
        <f>B16/$B$30</f>
        <v>1.7025510836264718E-5</v>
      </c>
    </row>
    <row r="17" spans="1:8" ht="15">
      <c r="A17" s="545"/>
      <c r="B17" s="546"/>
      <c r="C17" s="546"/>
      <c r="D17" s="546"/>
      <c r="E17" s="546"/>
      <c r="H17" s="369"/>
    </row>
    <row r="18" spans="1:8" ht="15">
      <c r="A18" s="372" t="s">
        <v>2462</v>
      </c>
      <c r="B18" s="371">
        <v>0</v>
      </c>
      <c r="C18" s="371">
        <v>0</v>
      </c>
      <c r="D18" s="371">
        <v>126</v>
      </c>
      <c r="E18" s="371">
        <v>126</v>
      </c>
      <c r="H18" s="369">
        <f>B18/$B$30</f>
        <v>0</v>
      </c>
    </row>
    <row r="19" spans="1:8" ht="15">
      <c r="A19" s="372" t="s">
        <v>2460</v>
      </c>
      <c r="B19" s="371">
        <v>0</v>
      </c>
      <c r="C19" s="371">
        <v>0</v>
      </c>
      <c r="D19" s="371">
        <v>126</v>
      </c>
      <c r="E19" s="371">
        <v>126</v>
      </c>
      <c r="H19" s="369"/>
    </row>
    <row r="20" spans="1:8" ht="15">
      <c r="A20" s="372" t="s">
        <v>2459</v>
      </c>
      <c r="B20" s="371">
        <v>0</v>
      </c>
      <c r="C20" s="371">
        <v>0</v>
      </c>
      <c r="D20" s="371">
        <v>0</v>
      </c>
      <c r="E20" s="371">
        <v>0</v>
      </c>
      <c r="H20" s="369"/>
    </row>
    <row r="21" spans="1:8" ht="15">
      <c r="A21" s="545"/>
      <c r="B21" s="546"/>
      <c r="C21" s="546"/>
      <c r="D21" s="546"/>
      <c r="E21" s="546"/>
      <c r="H21" s="369"/>
    </row>
    <row r="22" spans="1:8" ht="15">
      <c r="A22" s="372" t="s">
        <v>2461</v>
      </c>
      <c r="B22" s="371">
        <v>184</v>
      </c>
      <c r="C22" s="371">
        <v>117</v>
      </c>
      <c r="D22" s="371">
        <v>560</v>
      </c>
      <c r="E22" s="371">
        <v>861</v>
      </c>
      <c r="H22" s="369">
        <f>B22/$B$30</f>
        <v>1.7403855521515044E-4</v>
      </c>
    </row>
    <row r="23" spans="1:8" ht="15">
      <c r="A23" s="372" t="s">
        <v>2460</v>
      </c>
      <c r="B23" s="371">
        <v>2</v>
      </c>
      <c r="C23" s="371">
        <v>5</v>
      </c>
      <c r="D23" s="371">
        <v>558</v>
      </c>
      <c r="E23" s="371">
        <v>565</v>
      </c>
      <c r="H23" s="369"/>
    </row>
    <row r="24" spans="1:8" ht="15">
      <c r="A24" s="372" t="s">
        <v>2459</v>
      </c>
      <c r="B24" s="371">
        <v>182</v>
      </c>
      <c r="C24" s="371">
        <v>112</v>
      </c>
      <c r="D24" s="371">
        <v>2</v>
      </c>
      <c r="E24" s="371">
        <v>296</v>
      </c>
      <c r="H24" s="369"/>
    </row>
    <row r="25" spans="1:8" ht="15">
      <c r="A25" s="545"/>
      <c r="B25" s="546"/>
      <c r="C25" s="546"/>
      <c r="D25" s="546"/>
      <c r="E25" s="546"/>
      <c r="H25" s="369"/>
    </row>
    <row r="26" spans="1:8" ht="15">
      <c r="A26" s="372" t="s">
        <v>2458</v>
      </c>
      <c r="B26" s="371">
        <v>0</v>
      </c>
      <c r="C26" s="371">
        <v>6</v>
      </c>
      <c r="D26" s="370">
        <v>2217</v>
      </c>
      <c r="E26" s="370">
        <v>2223</v>
      </c>
      <c r="H26" s="369">
        <f>B26/$B$30</f>
        <v>0</v>
      </c>
    </row>
    <row r="27" spans="1:8" ht="15">
      <c r="A27" s="545"/>
      <c r="B27" s="546"/>
      <c r="C27" s="546"/>
      <c r="D27" s="546"/>
      <c r="E27" s="546"/>
      <c r="H27" s="369"/>
    </row>
    <row r="28" spans="1:8" ht="15">
      <c r="A28" s="372" t="s">
        <v>2457</v>
      </c>
      <c r="B28" s="370">
        <v>261140</v>
      </c>
      <c r="C28" s="371">
        <v>0</v>
      </c>
      <c r="D28" s="371">
        <v>172</v>
      </c>
      <c r="E28" s="370">
        <v>261312</v>
      </c>
      <c r="H28" s="369">
        <f>B28/$B$30</f>
        <v>0.24700232776567602</v>
      </c>
    </row>
    <row r="29" spans="1:8" ht="15">
      <c r="A29" s="545"/>
      <c r="B29" s="546"/>
      <c r="C29" s="546"/>
      <c r="D29" s="546"/>
      <c r="E29" s="546"/>
      <c r="H29" s="369">
        <f>B29/$B$30</f>
        <v>0</v>
      </c>
    </row>
    <row r="30" spans="1:8" s="363" customFormat="1" ht="15">
      <c r="A30" s="368" t="s">
        <v>2456</v>
      </c>
      <c r="B30" s="366">
        <v>1057237</v>
      </c>
      <c r="C30" s="366">
        <v>13366</v>
      </c>
      <c r="D30" s="366">
        <v>5747</v>
      </c>
      <c r="E30" s="366">
        <v>1076350</v>
      </c>
    </row>
    <row r="31" spans="1:8" s="363" customFormat="1" ht="15">
      <c r="A31" s="368" t="s">
        <v>2455</v>
      </c>
      <c r="B31" s="366">
        <v>2656</v>
      </c>
      <c r="C31" s="367">
        <v>784</v>
      </c>
      <c r="D31" s="366">
        <v>3254</v>
      </c>
      <c r="E31" s="366">
        <v>6694</v>
      </c>
    </row>
    <row r="32" spans="1:8" s="363" customFormat="1" ht="15.75" thickBot="1">
      <c r="A32" s="365" t="s">
        <v>2454</v>
      </c>
      <c r="B32" s="364">
        <v>1054581</v>
      </c>
      <c r="C32" s="364">
        <v>12582</v>
      </c>
      <c r="D32" s="364">
        <v>2493</v>
      </c>
      <c r="E32" s="364">
        <v>1069656</v>
      </c>
    </row>
    <row r="33" spans="1:5">
      <c r="A33" s="547" t="s">
        <v>2453</v>
      </c>
      <c r="B33" s="548"/>
      <c r="C33" s="548"/>
      <c r="D33" s="548"/>
      <c r="E33" s="548"/>
    </row>
    <row r="34" spans="1:5">
      <c r="A34" s="552" t="s">
        <v>2452</v>
      </c>
      <c r="B34" s="553"/>
      <c r="C34" s="553"/>
      <c r="D34" s="553"/>
      <c r="E34" s="553"/>
    </row>
    <row r="35" spans="1:5">
      <c r="A35" s="552" t="s">
        <v>2451</v>
      </c>
      <c r="B35" s="553"/>
      <c r="C35" s="553"/>
      <c r="D35" s="553"/>
      <c r="E35" s="553"/>
    </row>
    <row r="36" spans="1:5">
      <c r="A36" s="552" t="s">
        <v>2450</v>
      </c>
      <c r="B36" s="553"/>
      <c r="C36" s="553"/>
      <c r="D36" s="553"/>
      <c r="E36" s="553"/>
    </row>
    <row r="37" spans="1:5">
      <c r="A37" s="552" t="s">
        <v>2449</v>
      </c>
      <c r="B37" s="553"/>
      <c r="C37" s="553"/>
      <c r="D37" s="553"/>
      <c r="E37" s="553"/>
    </row>
    <row r="38" spans="1:5">
      <c r="A38" s="551" t="s">
        <v>2448</v>
      </c>
      <c r="B38" s="550"/>
      <c r="C38" s="550"/>
      <c r="D38" s="550"/>
      <c r="E38" s="550"/>
    </row>
    <row r="39" spans="1:5">
      <c r="A39" s="549" t="s">
        <v>2447</v>
      </c>
      <c r="B39" s="550"/>
      <c r="C39" s="550"/>
      <c r="D39" s="550"/>
      <c r="E39" s="550"/>
    </row>
    <row r="40" spans="1:5">
      <c r="A40" s="549" t="s">
        <v>2446</v>
      </c>
      <c r="B40" s="550"/>
      <c r="C40" s="550"/>
      <c r="D40" s="550"/>
      <c r="E40" s="550"/>
    </row>
    <row r="41" spans="1:5">
      <c r="A41" s="549" t="s">
        <v>2445</v>
      </c>
      <c r="B41" s="550"/>
      <c r="C41" s="550"/>
      <c r="D41" s="550"/>
      <c r="E41" s="550"/>
    </row>
    <row r="42" spans="1:5">
      <c r="A42" s="549" t="s">
        <v>2444</v>
      </c>
      <c r="B42" s="550"/>
      <c r="C42" s="550"/>
      <c r="D42" s="550"/>
      <c r="E42" s="550"/>
    </row>
    <row r="43" spans="1:5">
      <c r="A43" s="551" t="s">
        <v>2443</v>
      </c>
      <c r="B43" s="550"/>
      <c r="C43" s="550"/>
      <c r="D43" s="550"/>
      <c r="E43" s="550"/>
    </row>
  </sheetData>
  <mergeCells count="22">
    <mergeCell ref="A43:E43"/>
    <mergeCell ref="A34:E34"/>
    <mergeCell ref="A35:E35"/>
    <mergeCell ref="A36:E36"/>
    <mergeCell ref="A37:E37"/>
    <mergeCell ref="A38:E38"/>
    <mergeCell ref="A39:E39"/>
    <mergeCell ref="A29:E29"/>
    <mergeCell ref="A33:E33"/>
    <mergeCell ref="A40:E40"/>
    <mergeCell ref="A41:E41"/>
    <mergeCell ref="A42:E42"/>
    <mergeCell ref="A15:E15"/>
    <mergeCell ref="A17:E17"/>
    <mergeCell ref="A21:E21"/>
    <mergeCell ref="A25:E25"/>
    <mergeCell ref="A27:E27"/>
    <mergeCell ref="A5:E5"/>
    <mergeCell ref="A6:A7"/>
    <mergeCell ref="E6:E7"/>
    <mergeCell ref="A11:E11"/>
    <mergeCell ref="A13:E13"/>
  </mergeCells>
  <pageMargins left="0.7" right="0.7" top="0.75" bottom="0.75" header="0.3" footer="0.3"/>
</worksheet>
</file>

<file path=xl/worksheets/sheet6.xml><?xml version="1.0" encoding="utf-8"?>
<worksheet xmlns="http://schemas.openxmlformats.org/spreadsheetml/2006/main" xmlns:r="http://schemas.openxmlformats.org/officeDocument/2006/relationships">
  <sheetPr>
    <tabColor theme="6"/>
  </sheetPr>
  <dimension ref="B1:I8"/>
  <sheetViews>
    <sheetView workbookViewId="0">
      <selection activeCell="E34" sqref="E34"/>
    </sheetView>
  </sheetViews>
  <sheetFormatPr defaultRowHeight="15"/>
  <cols>
    <col min="2" max="2" width="23" bestFit="1" customWidth="1"/>
    <col min="3" max="3" width="23" customWidth="1"/>
  </cols>
  <sheetData>
    <row r="1" spans="2:9" ht="15.75" thickBot="1"/>
    <row r="2" spans="2:9" ht="15.75" thickBot="1">
      <c r="B2" s="407"/>
      <c r="C2" s="408" t="s">
        <v>2485</v>
      </c>
    </row>
    <row r="3" spans="2:9">
      <c r="B3" s="401" t="s">
        <v>111</v>
      </c>
      <c r="C3" s="402">
        <v>393.91300000000001</v>
      </c>
      <c r="E3" s="383" t="s">
        <v>2484</v>
      </c>
    </row>
    <row r="4" spans="2:9">
      <c r="B4" s="113" t="s">
        <v>89</v>
      </c>
      <c r="C4" s="403">
        <v>286.08699999999999</v>
      </c>
      <c r="E4" t="s">
        <v>2488</v>
      </c>
    </row>
    <row r="5" spans="2:9">
      <c r="B5" s="113" t="s">
        <v>115</v>
      </c>
      <c r="C5" s="403">
        <f>C3*G8</f>
        <v>541.63037499999996</v>
      </c>
      <c r="E5" t="s">
        <v>2487</v>
      </c>
    </row>
    <row r="6" spans="2:9">
      <c r="B6" s="113" t="s">
        <v>112</v>
      </c>
      <c r="C6" s="404">
        <v>190</v>
      </c>
    </row>
    <row r="7" spans="2:9">
      <c r="B7" s="113" t="s">
        <v>114</v>
      </c>
      <c r="C7" s="404">
        <f>AVERAGE(240,190)</f>
        <v>215</v>
      </c>
      <c r="E7" s="383" t="s">
        <v>2489</v>
      </c>
      <c r="F7">
        <f>44*13.2</f>
        <v>580.79999999999995</v>
      </c>
    </row>
    <row r="8" spans="2:9" ht="15.75" thickBot="1">
      <c r="B8" s="405" t="s">
        <v>116</v>
      </c>
      <c r="C8" s="406">
        <f>AVERAGE(88,62,76,73)</f>
        <v>74.75</v>
      </c>
      <c r="E8" s="383" t="s">
        <v>2490</v>
      </c>
      <c r="F8">
        <f>32*13.2</f>
        <v>422.4</v>
      </c>
      <c r="G8">
        <f>F7/F8</f>
        <v>1.375</v>
      </c>
      <c r="H8" s="376"/>
      <c r="I8" s="37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sheetPr>
    <tabColor theme="6"/>
  </sheetPr>
  <dimension ref="B1:E14"/>
  <sheetViews>
    <sheetView workbookViewId="0">
      <selection activeCell="B22" sqref="B22"/>
    </sheetView>
  </sheetViews>
  <sheetFormatPr defaultColWidth="8.85546875" defaultRowHeight="15"/>
  <cols>
    <col min="2" max="2" width="21" customWidth="1"/>
    <col min="3" max="3" width="13.42578125" customWidth="1"/>
    <col min="4" max="4" width="13.140625" bestFit="1" customWidth="1"/>
    <col min="5" max="5" width="45" bestFit="1" customWidth="1"/>
  </cols>
  <sheetData>
    <row r="1" spans="2:5" ht="15.75" thickBot="1">
      <c r="B1" s="383" t="s">
        <v>2498</v>
      </c>
    </row>
    <row r="2" spans="2:5" ht="15.75" thickBot="1">
      <c r="B2" s="209"/>
      <c r="C2" s="401" t="s">
        <v>124</v>
      </c>
      <c r="D2" s="401" t="s">
        <v>2547</v>
      </c>
      <c r="E2" s="430" t="s">
        <v>118</v>
      </c>
    </row>
    <row r="3" spans="2:5">
      <c r="B3" s="401" t="s">
        <v>49</v>
      </c>
      <c r="C3" s="515">
        <f>D3*deflator!$D$66/deflator!$D$68</f>
        <v>21820.563015599178</v>
      </c>
      <c r="D3" s="424">
        <v>22421</v>
      </c>
      <c r="E3" s="426" t="s">
        <v>2496</v>
      </c>
    </row>
    <row r="4" spans="2:5">
      <c r="B4" s="113" t="s">
        <v>2497</v>
      </c>
      <c r="C4" s="516">
        <f>D4*deflator!$D$66/deflator!$D$68</f>
        <v>24586.453925475318</v>
      </c>
      <c r="D4" s="218">
        <v>25263</v>
      </c>
      <c r="E4" s="428" t="s">
        <v>2496</v>
      </c>
    </row>
    <row r="5" spans="2:5">
      <c r="B5" s="113" t="s">
        <v>125</v>
      </c>
      <c r="C5" s="516">
        <f>D5*deflator!$D$66/deflator!$D$68</f>
        <v>26065.748148913644</v>
      </c>
      <c r="D5" s="218">
        <v>26783</v>
      </c>
      <c r="E5" s="428" t="s">
        <v>2496</v>
      </c>
    </row>
    <row r="6" spans="2:5">
      <c r="B6" s="113" t="s">
        <v>30</v>
      </c>
      <c r="C6" s="516">
        <f>D6*deflator!$D$66/deflator!$D$68</f>
        <v>27173.272376724704</v>
      </c>
      <c r="D6" s="218">
        <f>D3+5500</f>
        <v>27921</v>
      </c>
      <c r="E6" s="259" t="s">
        <v>2229</v>
      </c>
    </row>
    <row r="7" spans="2:5">
      <c r="B7" s="113" t="s">
        <v>114</v>
      </c>
      <c r="C7" s="516">
        <f>D7*deflator!$D$66/deflator!$D$68</f>
        <v>48660.994192050261</v>
      </c>
      <c r="D7" s="218">
        <v>50000</v>
      </c>
      <c r="E7" s="427" t="s">
        <v>2533</v>
      </c>
    </row>
    <row r="8" spans="2:5" ht="15.75" thickBot="1">
      <c r="B8" s="405" t="s">
        <v>116</v>
      </c>
      <c r="C8" s="517">
        <f>D8*deflator!$D$66/deflator!$D$68</f>
        <v>41585.685636526148</v>
      </c>
      <c r="D8" s="425">
        <f>35230+7500</f>
        <v>42730</v>
      </c>
      <c r="E8" s="429" t="s">
        <v>2496</v>
      </c>
    </row>
    <row r="13" spans="2:5">
      <c r="C13" s="383"/>
    </row>
    <row r="14" spans="2:5">
      <c r="C14" s="383"/>
    </row>
  </sheetData>
  <pageMargins left="0.7" right="0.7" top="0.75" bottom="0.75" header="0.3" footer="0.3"/>
  <pageSetup orientation="portrait" horizontalDpi="4294967292" verticalDpi="4294967292" r:id="rId1"/>
  <drawing r:id="rId2"/>
</worksheet>
</file>

<file path=xl/worksheets/sheet8.xml><?xml version="1.0" encoding="utf-8"?>
<worksheet xmlns="http://schemas.openxmlformats.org/spreadsheetml/2006/main" xmlns:r="http://schemas.openxmlformats.org/officeDocument/2006/relationships">
  <sheetPr>
    <tabColor theme="6"/>
  </sheetPr>
  <dimension ref="A2:H25"/>
  <sheetViews>
    <sheetView workbookViewId="0">
      <selection activeCell="G8" sqref="G8"/>
    </sheetView>
  </sheetViews>
  <sheetFormatPr defaultColWidth="8.85546875" defaultRowHeight="15"/>
  <cols>
    <col min="1" max="1" width="19.140625" bestFit="1" customWidth="1"/>
    <col min="2" max="2" width="8.85546875" customWidth="1"/>
    <col min="3" max="3" width="11.5703125" customWidth="1"/>
    <col min="4" max="4" width="9.42578125" customWidth="1"/>
    <col min="5" max="5" width="11.140625" customWidth="1"/>
    <col min="6" max="6" width="12" bestFit="1" customWidth="1"/>
    <col min="7" max="7" width="12.42578125" bestFit="1" customWidth="1"/>
    <col min="8" max="8" width="11.42578125" bestFit="1" customWidth="1"/>
  </cols>
  <sheetData>
    <row r="2" spans="1:8" ht="15.75" thickBot="1">
      <c r="B2" s="554">
        <v>2010</v>
      </c>
      <c r="C2" s="555"/>
      <c r="D2" s="555" t="s">
        <v>2247</v>
      </c>
      <c r="E2" s="555"/>
      <c r="G2" t="s">
        <v>92</v>
      </c>
    </row>
    <row r="3" spans="1:8" ht="15.75" thickBot="1">
      <c r="B3" s="232" t="s">
        <v>2249</v>
      </c>
      <c r="C3" s="261" t="s">
        <v>2248</v>
      </c>
      <c r="D3" s="232" t="s">
        <v>2249</v>
      </c>
      <c r="E3" s="261" t="s">
        <v>2549</v>
      </c>
      <c r="G3" t="s">
        <v>94</v>
      </c>
      <c r="H3" s="85" t="s">
        <v>93</v>
      </c>
    </row>
    <row r="4" spans="1:8">
      <c r="A4" s="124" t="s">
        <v>2250</v>
      </c>
      <c r="B4" s="113"/>
      <c r="C4" s="242">
        <f>E4*deflator!$D$66/deflator!$D$68</f>
        <v>3.2797510085441877</v>
      </c>
      <c r="D4" s="113"/>
      <c r="E4" s="242">
        <v>3.37</v>
      </c>
      <c r="G4" t="s">
        <v>98</v>
      </c>
      <c r="H4" s="85" t="s">
        <v>97</v>
      </c>
    </row>
    <row r="5" spans="1:8">
      <c r="A5" s="259" t="s">
        <v>2251</v>
      </c>
      <c r="B5" s="113"/>
      <c r="C5" s="242">
        <f>E5*deflator!$D$66/deflator!$D$68</f>
        <v>2.0729583525813409</v>
      </c>
      <c r="D5" s="113"/>
      <c r="E5" s="242">
        <v>2.13</v>
      </c>
    </row>
    <row r="6" spans="1:8">
      <c r="A6" s="259" t="s">
        <v>91</v>
      </c>
      <c r="B6" s="113"/>
      <c r="C6" s="242">
        <f>E6*deflator!$D$66/deflator!$D$68</f>
        <v>4.3210962842540637</v>
      </c>
      <c r="D6" s="113"/>
      <c r="E6" s="531">
        <v>4.4400000000000004</v>
      </c>
    </row>
    <row r="7" spans="1:8">
      <c r="A7" s="259" t="s">
        <v>98</v>
      </c>
      <c r="B7" s="530">
        <f>D7*deflator!$D$66/deflator!$D$68</f>
        <v>9.4694294697729817E-2</v>
      </c>
      <c r="C7" s="228"/>
      <c r="D7" s="113">
        <v>9.7299999999999998E-2</v>
      </c>
      <c r="E7" s="228"/>
    </row>
    <row r="8" spans="1:8" ht="15.75" thickBot="1">
      <c r="A8" s="260" t="s">
        <v>123</v>
      </c>
      <c r="B8" s="119"/>
      <c r="C8" s="258">
        <f>E8*deflator!$D$66/deflator!$D$68</f>
        <v>3.3965373946051085</v>
      </c>
      <c r="D8" s="119"/>
      <c r="E8" s="258">
        <v>3.49</v>
      </c>
    </row>
    <row r="9" spans="1:8">
      <c r="D9" s="2"/>
    </row>
    <row r="10" spans="1:8" ht="15.75" thickBot="1"/>
    <row r="11" spans="1:8" ht="45.75" thickBot="1">
      <c r="B11" s="265" t="s">
        <v>13</v>
      </c>
      <c r="C11" s="266" t="s">
        <v>12</v>
      </c>
      <c r="D11" s="266" t="s">
        <v>89</v>
      </c>
      <c r="E11" s="266" t="s">
        <v>113</v>
      </c>
      <c r="F11" s="266" t="s">
        <v>5</v>
      </c>
      <c r="G11" s="266" t="s">
        <v>107</v>
      </c>
      <c r="H11" s="267" t="s">
        <v>114</v>
      </c>
    </row>
    <row r="12" spans="1:8">
      <c r="B12" s="384">
        <v>1</v>
      </c>
      <c r="C12" s="212">
        <f>((LIFETIME_MILES/LIFETIME_YEARS)/CV_MPG)*(GAS_PRICE_2010DOLLARS/(1+DISCOUNT_RATE_FUEL)^B12)</f>
        <v>1588.8788487428437</v>
      </c>
      <c r="D12" s="212">
        <f>((LIFETIME_MILES/LIFETIME_YEARS/E85_MPG)*(E85_PRICE_2010DOLLARS/(1+DISCOUNT_RATE_FUEL)^B12))</f>
        <v>2093.3596701537763</v>
      </c>
      <c r="E12" s="212">
        <f>(LIFETIME_MILES/LIFETIME_YEARS/HEV_MPG)*(GAS_PRICE_2010DOLLARS/(1+DISCOUNT_RATE_FUEL)^B12)</f>
        <v>1134.9134633877454</v>
      </c>
      <c r="F12" s="212">
        <f>(LIFETIME_MILES/LIFETIME_YEARS/CNG_MPG)*(CNG_PRICES_2010DOLLARS/(1+DISCOUNT_RATE_FUEL)^B12)</f>
        <v>974.9969599902787</v>
      </c>
      <c r="G12" s="413">
        <f>(LIFETIME_MILES/LIFETIME_YEARS/MI_KWH/CHARGING_EFFICIENCY)*(ELECTRICITYPRICE_2010DOLLARS/(1+DISCOUNT_RATE_FUEL)^B12)</f>
        <v>472.99093374626005</v>
      </c>
      <c r="H12" s="414">
        <f t="shared" ref="H12:H23" si="0">(LIFETIME_MILES/LIFETIME_YEARS/HFCV_MPG)*(HYDROGENPRICES_2010DOLLARS/(1+DISCOUNT_RATE_FUEL)^B12)</f>
        <v>695.1652459338311</v>
      </c>
    </row>
    <row r="13" spans="1:8">
      <c r="B13" s="130">
        <v>2</v>
      </c>
      <c r="C13" s="207">
        <f t="shared" ref="C13:C23" si="1">((LIFETIME_MILES/LIFETIME_YEARS)/CV_MPG)*(GAS_PRICE_2010DOLLARS/(1+DISCOUNT_RATE_FUEL)^B13)</f>
        <v>1527.7681237911954</v>
      </c>
      <c r="D13" s="207">
        <f t="shared" ref="D13:D23" si="2">((LIFETIME_MILES/LIFETIME_YEARS/E85_MPG)*(E85_PRICE_2010DOLLARS/(1+DISCOUNT_RATE_FUEL)^B13))</f>
        <v>2012.8458366863233</v>
      </c>
      <c r="E13" s="207">
        <f t="shared" ref="E13:E23" si="3">(LIFETIME_MILES/LIFETIME_YEARS/HEV_MPG)*(GAS_PRICE_2010DOLLARS/(1+DISCOUNT_RATE_FUEL)^B13)</f>
        <v>1091.2629455651397</v>
      </c>
      <c r="F13" s="207">
        <f t="shared" ref="F13:F23" si="4">(LIFETIME_MILES/LIFETIME_YEARS/CNG_MPG)*(CNG_PRICES_2010DOLLARS/(1+DISCOUNT_RATE_FUEL)^B13)</f>
        <v>937.49707691372942</v>
      </c>
      <c r="G13" s="262">
        <f t="shared" ref="G13:G23" si="5">(LIFETIME_MILES/LIFETIME_YEARS/MI_KWH/CHARGING_EFFICIENCY)*(ELECTRICITYPRICE_2010DOLLARS/(1+DISCOUNT_RATE_FUEL)^B13)</f>
        <v>454.79897475601922</v>
      </c>
      <c r="H13" s="400">
        <f t="shared" si="0"/>
        <v>668.42812109022213</v>
      </c>
    </row>
    <row r="14" spans="1:8">
      <c r="B14" s="130">
        <v>3</v>
      </c>
      <c r="C14" s="207">
        <f t="shared" si="1"/>
        <v>1469.0078113376883</v>
      </c>
      <c r="D14" s="207">
        <f t="shared" si="2"/>
        <v>1935.4286891214645</v>
      </c>
      <c r="E14" s="207">
        <f t="shared" si="3"/>
        <v>1049.2912938126344</v>
      </c>
      <c r="F14" s="207">
        <f t="shared" si="4"/>
        <v>901.4394970324322</v>
      </c>
      <c r="G14" s="262">
        <f t="shared" si="5"/>
        <v>437.30670649617235</v>
      </c>
      <c r="H14" s="400">
        <f t="shared" si="0"/>
        <v>642.71934720213665</v>
      </c>
    </row>
    <row r="15" spans="1:8">
      <c r="B15" s="130">
        <v>4</v>
      </c>
      <c r="C15" s="207">
        <f t="shared" si="1"/>
        <v>1412.5075109016229</v>
      </c>
      <c r="D15" s="207">
        <f t="shared" si="2"/>
        <v>1860.9891241552543</v>
      </c>
      <c r="E15" s="207">
        <f t="shared" si="3"/>
        <v>1008.9339363583022</v>
      </c>
      <c r="F15" s="207">
        <f t="shared" si="4"/>
        <v>866.76874714656935</v>
      </c>
      <c r="G15" s="262">
        <f t="shared" si="5"/>
        <v>420.48721778478108</v>
      </c>
      <c r="H15" s="400">
        <f t="shared" si="0"/>
        <v>617.99937230974672</v>
      </c>
    </row>
    <row r="16" spans="1:8">
      <c r="B16" s="130">
        <v>5</v>
      </c>
      <c r="C16" s="207">
        <f t="shared" si="1"/>
        <v>1358.1802989438681</v>
      </c>
      <c r="D16" s="207">
        <f t="shared" si="2"/>
        <v>1789.4126193800519</v>
      </c>
      <c r="E16" s="207">
        <f t="shared" si="3"/>
        <v>970.12878495990583</v>
      </c>
      <c r="F16" s="207">
        <f t="shared" si="4"/>
        <v>833.431487640932</v>
      </c>
      <c r="G16" s="262">
        <f t="shared" si="5"/>
        <v>404.31463248536636</v>
      </c>
      <c r="H16" s="400">
        <f t="shared" si="0"/>
        <v>594.23016568244873</v>
      </c>
    </row>
    <row r="17" spans="2:8">
      <c r="B17" s="130">
        <v>6</v>
      </c>
      <c r="C17" s="207">
        <f t="shared" si="1"/>
        <v>1305.9425951383348</v>
      </c>
      <c r="D17" s="207">
        <f t="shared" si="2"/>
        <v>1720.5890570962038</v>
      </c>
      <c r="E17" s="207">
        <f t="shared" si="3"/>
        <v>932.81613938452494</v>
      </c>
      <c r="F17" s="207">
        <f t="shared" si="4"/>
        <v>801.37643042397303</v>
      </c>
      <c r="G17" s="262">
        <f t="shared" si="5"/>
        <v>388.76406969746762</v>
      </c>
      <c r="H17" s="400">
        <f t="shared" si="0"/>
        <v>571.37515931004691</v>
      </c>
    </row>
    <row r="18" spans="2:8">
      <c r="B18" s="130">
        <v>7</v>
      </c>
      <c r="C18" s="207">
        <f t="shared" si="1"/>
        <v>1255.7140337868605</v>
      </c>
      <c r="D18" s="207">
        <f t="shared" si="2"/>
        <v>1654.4125549001963</v>
      </c>
      <c r="E18" s="207">
        <f t="shared" si="3"/>
        <v>896.93859556204325</v>
      </c>
      <c r="F18" s="207">
        <f t="shared" si="4"/>
        <v>770.55426002305103</v>
      </c>
      <c r="G18" s="262">
        <f t="shared" si="5"/>
        <v>373.81160547833429</v>
      </c>
      <c r="H18" s="400">
        <f t="shared" si="0"/>
        <v>549.3991916442759</v>
      </c>
    </row>
    <row r="19" spans="2:8">
      <c r="B19" s="130">
        <v>8</v>
      </c>
      <c r="C19" s="207">
        <f t="shared" si="1"/>
        <v>1207.4173401796734</v>
      </c>
      <c r="D19" s="207">
        <f t="shared" si="2"/>
        <v>1590.78130278865</v>
      </c>
      <c r="E19" s="207">
        <f t="shared" si="3"/>
        <v>862.44095727119532</v>
      </c>
      <c r="F19" s="207">
        <f t="shared" si="4"/>
        <v>740.91755771447208</v>
      </c>
      <c r="G19" s="262">
        <f t="shared" si="5"/>
        <v>359.43423603685989</v>
      </c>
      <c r="H19" s="400">
        <f t="shared" si="0"/>
        <v>528.26845350411133</v>
      </c>
    </row>
    <row r="20" spans="2:8">
      <c r="B20" s="130">
        <v>9</v>
      </c>
      <c r="C20" s="207">
        <f t="shared" si="1"/>
        <v>1160.9782117112243</v>
      </c>
      <c r="D20" s="207">
        <f t="shared" si="2"/>
        <v>1529.5974065275477</v>
      </c>
      <c r="E20" s="207">
        <f t="shared" si="3"/>
        <v>829.27015122230307</v>
      </c>
      <c r="F20" s="207">
        <f t="shared" si="4"/>
        <v>712.4207285716077</v>
      </c>
      <c r="G20" s="262">
        <f t="shared" si="5"/>
        <v>345.6098423431344</v>
      </c>
      <c r="H20" s="400">
        <f t="shared" si="0"/>
        <v>507.95043606164546</v>
      </c>
    </row>
    <row r="21" spans="2:8">
      <c r="B21" s="130">
        <v>10</v>
      </c>
      <c r="C21" s="207">
        <f t="shared" si="1"/>
        <v>1116.325203568485</v>
      </c>
      <c r="D21" s="207">
        <f t="shared" si="2"/>
        <v>1470.7667370457191</v>
      </c>
      <c r="E21" s="207">
        <f t="shared" si="3"/>
        <v>797.37514540606071</v>
      </c>
      <c r="F21" s="207">
        <f t="shared" si="4"/>
        <v>685.01993131885354</v>
      </c>
      <c r="G21" s="262">
        <f t="shared" si="5"/>
        <v>332.31715609916779</v>
      </c>
      <c r="H21" s="400">
        <f t="shared" si="0"/>
        <v>488.41388082850523</v>
      </c>
    </row>
    <row r="22" spans="2:8">
      <c r="B22" s="130">
        <v>11</v>
      </c>
      <c r="C22" s="207">
        <f t="shared" si="1"/>
        <v>1073.3896188158508</v>
      </c>
      <c r="D22" s="207">
        <f t="shared" si="2"/>
        <v>1414.1987856208839</v>
      </c>
      <c r="E22" s="207">
        <f t="shared" si="3"/>
        <v>766.70687058275064</v>
      </c>
      <c r="F22" s="207">
        <f t="shared" si="4"/>
        <v>658.67301088351303</v>
      </c>
      <c r="G22" s="262">
        <f t="shared" si="5"/>
        <v>319.53572701843058</v>
      </c>
      <c r="H22" s="400">
        <f t="shared" si="0"/>
        <v>469.62873156587045</v>
      </c>
    </row>
    <row r="23" spans="2:8" ht="15.75" thickBot="1">
      <c r="B23" s="415">
        <v>12</v>
      </c>
      <c r="C23" s="416">
        <f t="shared" si="1"/>
        <v>1032.1054027075488</v>
      </c>
      <c r="D23" s="416">
        <f t="shared" si="2"/>
        <v>1359.8065246354649</v>
      </c>
      <c r="E23" s="416">
        <f t="shared" si="3"/>
        <v>737.21814479110628</v>
      </c>
      <c r="F23" s="416">
        <f t="shared" si="4"/>
        <v>633.33943354183941</v>
      </c>
      <c r="G23" s="417">
        <f t="shared" si="5"/>
        <v>307.24589136387544</v>
      </c>
      <c r="H23" s="418">
        <f t="shared" si="0"/>
        <v>451.5660880441061</v>
      </c>
    </row>
    <row r="24" spans="2:8" ht="15.75" thickBot="1">
      <c r="B24" s="134"/>
      <c r="C24" s="134"/>
      <c r="D24" s="134"/>
      <c r="E24" s="134"/>
      <c r="F24" s="134"/>
      <c r="G24" s="134"/>
      <c r="H24" s="135"/>
    </row>
    <row r="25" spans="2:8" ht="15.75" thickBot="1">
      <c r="B25" s="268" t="s">
        <v>103</v>
      </c>
      <c r="C25" s="269">
        <f t="shared" ref="C25:H25" si="6">SUM(C12:C23)</f>
        <v>15508.214999625197</v>
      </c>
      <c r="D25" s="269">
        <f t="shared" si="6"/>
        <v>20432.188308111534</v>
      </c>
      <c r="E25" s="269">
        <f t="shared" si="6"/>
        <v>11077.296428303713</v>
      </c>
      <c r="F25" s="269">
        <f t="shared" si="6"/>
        <v>9516.4351212012516</v>
      </c>
      <c r="G25" s="269">
        <f t="shared" si="6"/>
        <v>4616.61699330587</v>
      </c>
      <c r="H25" s="419">
        <f t="shared" si="6"/>
        <v>6785.1441931769477</v>
      </c>
    </row>
  </sheetData>
  <mergeCells count="2">
    <mergeCell ref="B2:C2"/>
    <mergeCell ref="D2:E2"/>
  </mergeCells>
  <hyperlinks>
    <hyperlink ref="H3" r:id="rId1"/>
    <hyperlink ref="H4" r:id="rId2"/>
  </hyperlinks>
  <pageMargins left="0.7" right="0.7" top="0.75" bottom="0.75" header="0.3" footer="0.3"/>
  <pageSetup orientation="portrait" horizontalDpi="4294967292" verticalDpi="4294967292" r:id="rId3"/>
  <drawing r:id="rId4"/>
</worksheet>
</file>

<file path=xl/worksheets/sheet9.xml><?xml version="1.0" encoding="utf-8"?>
<worksheet xmlns="http://schemas.openxmlformats.org/spreadsheetml/2006/main" xmlns:r="http://schemas.openxmlformats.org/officeDocument/2006/relationships">
  <sheetPr>
    <tabColor rgb="FFC00000"/>
  </sheetPr>
  <dimension ref="B1:L12"/>
  <sheetViews>
    <sheetView workbookViewId="0">
      <selection activeCell="L9" sqref="L9"/>
    </sheetView>
  </sheetViews>
  <sheetFormatPr defaultColWidth="8.85546875" defaultRowHeight="15"/>
  <cols>
    <col min="2" max="2" width="20.7109375" bestFit="1" customWidth="1"/>
    <col min="3" max="3" width="10.140625" customWidth="1"/>
    <col min="4" max="4" width="8.42578125" bestFit="1" customWidth="1"/>
    <col min="5" max="5" width="8.7109375" customWidth="1"/>
    <col min="6" max="6" width="9.28515625" customWidth="1"/>
    <col min="7" max="8" width="10" customWidth="1"/>
    <col min="9" max="9" width="9" customWidth="1"/>
    <col min="10" max="10" width="10.28515625" customWidth="1"/>
  </cols>
  <sheetData>
    <row r="1" spans="2:12" ht="15.75" thickBot="1"/>
    <row r="2" spans="2:12" ht="15.75" thickBot="1">
      <c r="B2" s="431"/>
      <c r="C2" s="432" t="s">
        <v>2218</v>
      </c>
      <c r="D2" s="433"/>
      <c r="E2" s="433"/>
      <c r="F2" s="434"/>
      <c r="G2" s="432" t="s">
        <v>2219</v>
      </c>
      <c r="H2" s="433"/>
      <c r="I2" s="433"/>
      <c r="J2" s="434"/>
      <c r="K2" s="377"/>
    </row>
    <row r="3" spans="2:12" ht="56.25" customHeight="1" thickBot="1">
      <c r="B3" s="435"/>
      <c r="C3" s="436" t="s">
        <v>2217</v>
      </c>
      <c r="D3" s="437" t="s">
        <v>2550</v>
      </c>
      <c r="E3" s="437" t="s">
        <v>25</v>
      </c>
      <c r="F3" s="438" t="s">
        <v>26</v>
      </c>
      <c r="G3" s="436" t="s">
        <v>2217</v>
      </c>
      <c r="H3" s="437" t="s">
        <v>2550</v>
      </c>
      <c r="I3" s="437" t="s">
        <v>25</v>
      </c>
      <c r="J3" s="438" t="s">
        <v>26</v>
      </c>
      <c r="K3" s="377"/>
    </row>
    <row r="4" spans="2:12">
      <c r="B4" s="439" t="s">
        <v>111</v>
      </c>
      <c r="C4" s="508">
        <f>'8-External Costs - Fuel'!C24</f>
        <v>560.53019993284158</v>
      </c>
      <c r="D4" s="509">
        <f>'9-External Costs- Assembly'!J24</f>
        <v>637.02555588383143</v>
      </c>
      <c r="E4" s="509">
        <f>SUM('10a-CV Operation'!B17:G17)</f>
        <v>706.62482045492959</v>
      </c>
      <c r="F4" s="510">
        <f>SUM(C4:E4)</f>
        <v>1904.1805762716026</v>
      </c>
      <c r="G4" s="439">
        <f>'8-External Costs - Fuel'!D24</f>
        <v>285.66007403611621</v>
      </c>
      <c r="H4" s="440">
        <f>'9-External Costs- Assembly'!K24</f>
        <v>186.97573449434299</v>
      </c>
      <c r="I4" s="440">
        <f>'10a-CV Operation'!I17</f>
        <v>997.18813822500761</v>
      </c>
      <c r="J4" s="441">
        <f t="shared" ref="J4:J9" si="0">SUM(G4:I4)</f>
        <v>1469.8239467554667</v>
      </c>
      <c r="K4" s="377"/>
    </row>
    <row r="5" spans="2:12">
      <c r="B5" s="439" t="s">
        <v>89</v>
      </c>
      <c r="C5" s="439">
        <f>'8-External Costs - Fuel'!E24</f>
        <v>803.11204709267838</v>
      </c>
      <c r="D5" s="440">
        <f>'9-External Costs- Assembly'!J24</f>
        <v>637.02555588383143</v>
      </c>
      <c r="E5" s="440">
        <f>SUM('10b-E85-Operation'!B17:G17)</f>
        <v>687.13558581677671</v>
      </c>
      <c r="F5" s="511">
        <f t="shared" ref="F5:F9" si="1">SUM(C5:E5)</f>
        <v>2127.2731887932864</v>
      </c>
      <c r="G5" s="439">
        <f>'8-External Costs - Fuel'!F24</f>
        <v>-252.77438123063786</v>
      </c>
      <c r="H5" s="440">
        <f>'9-External Costs- Assembly'!K24</f>
        <v>186.97573449434299</v>
      </c>
      <c r="I5" s="440">
        <f>'10b-E85-Operation'!I17</f>
        <v>979.33857521894174</v>
      </c>
      <c r="J5" s="441">
        <f t="shared" si="0"/>
        <v>913.53992848264693</v>
      </c>
      <c r="K5" s="377"/>
    </row>
    <row r="6" spans="2:12">
      <c r="B6" s="439" t="s">
        <v>115</v>
      </c>
      <c r="C6" s="439">
        <f>'8-External Costs - Fuel'!G24</f>
        <v>400.37871423774396</v>
      </c>
      <c r="D6" s="440">
        <f>'9-External Costs- Assembly'!J26</f>
        <v>719.66236741920693</v>
      </c>
      <c r="E6" s="440">
        <f>SUM('10c-HEV- Operation'!B17:G17)</f>
        <v>660.50076592615108</v>
      </c>
      <c r="F6" s="511">
        <f t="shared" si="1"/>
        <v>1780.541847583102</v>
      </c>
      <c r="G6" s="439">
        <f>'8-External Costs - Fuel'!H24</f>
        <v>204.04291002579737</v>
      </c>
      <c r="H6" s="440">
        <f>'9-External Costs- Assembly'!K26</f>
        <v>179.01941194249196</v>
      </c>
      <c r="I6" s="440">
        <f>'10c-HEV- Operation'!I17</f>
        <v>714.94077655491265</v>
      </c>
      <c r="J6" s="441">
        <f t="shared" si="0"/>
        <v>1098.003098523202</v>
      </c>
      <c r="K6" s="377"/>
    </row>
    <row r="7" spans="2:12">
      <c r="B7" s="439" t="s">
        <v>112</v>
      </c>
      <c r="C7" s="439">
        <f>'8-External Costs - Fuel'!I24</f>
        <v>457.15608834506304</v>
      </c>
      <c r="D7" s="440">
        <f>'9-External Costs- Assembly'!J24</f>
        <v>637.02555588383143</v>
      </c>
      <c r="E7" s="440">
        <f>SUM('10d-CNG Operation'!B17:G17)</f>
        <v>668.95389060548177</v>
      </c>
      <c r="F7" s="511">
        <f t="shared" si="1"/>
        <v>1763.1355348343764</v>
      </c>
      <c r="G7" s="439">
        <f>'8-External Costs - Fuel'!J24</f>
        <v>277.67138610118741</v>
      </c>
      <c r="H7" s="440">
        <f>'9-External Costs- Assembly'!K24</f>
        <v>186.97573449434299</v>
      </c>
      <c r="I7" s="440">
        <f>'10d-CNG Operation'!I17</f>
        <v>757.29622650585611</v>
      </c>
      <c r="J7" s="441">
        <f t="shared" si="0"/>
        <v>1221.9433471013865</v>
      </c>
      <c r="K7" s="377"/>
      <c r="L7" s="109"/>
    </row>
    <row r="8" spans="2:12">
      <c r="B8" s="439" t="s">
        <v>114</v>
      </c>
      <c r="C8" s="439">
        <f>'8-External Costs - Fuel'!K24</f>
        <v>728.97862736104639</v>
      </c>
      <c r="D8" s="440">
        <f>'9-External Costs- Assembly'!J30</f>
        <v>962.35936740991747</v>
      </c>
      <c r="E8" s="440">
        <f>SUM('10e-FCV-Operation'!B17:G17)</f>
        <v>92.959979096637383</v>
      </c>
      <c r="F8" s="511">
        <f t="shared" si="1"/>
        <v>1784.2979738676013</v>
      </c>
      <c r="G8" s="439">
        <f>'8-External Costs - Fuel'!L24</f>
        <v>764.57816098071976</v>
      </c>
      <c r="H8" s="440">
        <f>'9-External Costs- Assembly'!K30</f>
        <v>239.55749068785053</v>
      </c>
      <c r="I8" s="501">
        <f>'10e-FCV-Operation'!I17</f>
        <v>0</v>
      </c>
      <c r="J8" s="441">
        <f t="shared" si="0"/>
        <v>1004.1356516685703</v>
      </c>
      <c r="K8" s="529"/>
    </row>
    <row r="9" spans="2:12" ht="15.75" thickBot="1">
      <c r="B9" s="442" t="s">
        <v>116</v>
      </c>
      <c r="C9" s="512">
        <f>'8-External Costs - Fuel'!M25</f>
        <v>947.30373251625747</v>
      </c>
      <c r="D9" s="513">
        <f>'9-External Costs- Assembly'!J28</f>
        <v>2001.2734212215203</v>
      </c>
      <c r="E9" s="513">
        <f>SUM('10f-BEV- Operation'!B17:G17)</f>
        <v>92.959979096637383</v>
      </c>
      <c r="F9" s="514">
        <f t="shared" si="1"/>
        <v>3041.5371328344149</v>
      </c>
      <c r="G9" s="442">
        <f>'8-External Costs - Fuel'!N25</f>
        <v>703.73505156420958</v>
      </c>
      <c r="H9" s="443">
        <f>'9-External Costs- Assembly'!K28</f>
        <v>515.5026147107551</v>
      </c>
      <c r="I9" s="502">
        <f>'10f-BEV- Operation'!I17</f>
        <v>0</v>
      </c>
      <c r="J9" s="412">
        <f t="shared" si="0"/>
        <v>1219.2376662749648</v>
      </c>
      <c r="K9" s="377"/>
    </row>
    <row r="11" spans="2:12">
      <c r="F11" s="423"/>
      <c r="G11" s="423"/>
      <c r="H11" s="423"/>
      <c r="I11" s="423"/>
      <c r="J11" s="423"/>
    </row>
    <row r="12" spans="2:12">
      <c r="F12" s="109"/>
      <c r="G12" s="109"/>
      <c r="H12" s="109"/>
      <c r="I12" s="109"/>
      <c r="J12" s="109"/>
      <c r="K12" s="109"/>
      <c r="L12" s="109"/>
    </row>
  </sheetData>
  <pageMargins left="0.7" right="0.7" top="0.75" bottom="0.75" header="0.3" footer="0.3"/>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24</vt:i4>
      </vt:variant>
    </vt:vector>
  </HeadingPairs>
  <TitlesOfParts>
    <vt:vector size="57" baseType="lpstr">
      <vt:lpstr>TOC</vt:lpstr>
      <vt:lpstr>Table 1 and Figure</vt:lpstr>
      <vt:lpstr>1-Table 1</vt:lpstr>
      <vt:lpstr>2- Key Assumptions</vt:lpstr>
      <vt:lpstr>3-market share</vt:lpstr>
      <vt:lpstr>4- Range</vt:lpstr>
      <vt:lpstr>5-Auto Prices </vt:lpstr>
      <vt:lpstr>6-Fuel NPV</vt:lpstr>
      <vt:lpstr>7-External Costs Summary</vt:lpstr>
      <vt:lpstr>8-External Costs - Fuel</vt:lpstr>
      <vt:lpstr>9-External Costs- Assembly</vt:lpstr>
      <vt:lpstr>10a-CV Operation</vt:lpstr>
      <vt:lpstr>10b-E85-Operation</vt:lpstr>
      <vt:lpstr>10c-HEV- Operation</vt:lpstr>
      <vt:lpstr>10d-CNG Operation</vt:lpstr>
      <vt:lpstr>10e-FCV-Operation</vt:lpstr>
      <vt:lpstr>10f-BEV- Operation</vt:lpstr>
      <vt:lpstr>11-Oil Externalities</vt:lpstr>
      <vt:lpstr>12a-NAS-output-VMT</vt:lpstr>
      <vt:lpstr>12b-energy-emission-factors</vt:lpstr>
      <vt:lpstr>13- GREET INPUT ASSUMPTIONS--&gt;</vt:lpstr>
      <vt:lpstr>a-GREET 1 2011 Results 2015</vt:lpstr>
      <vt:lpstr>b-GREET 1 2011 Vehicle</vt:lpstr>
      <vt:lpstr>c-GREET 2.7</vt:lpstr>
      <vt:lpstr>Petroleum,NG Pathways 2015</vt:lpstr>
      <vt:lpstr>EtOH,H2,BD,Elec. Pathways 2015</vt:lpstr>
      <vt:lpstr>Fuel Blends Options 2015</vt:lpstr>
      <vt:lpstr>Market Shares</vt:lpstr>
      <vt:lpstr>Production Assumptions 2015</vt:lpstr>
      <vt:lpstr>PHEV Options 2015</vt:lpstr>
      <vt:lpstr>deflator</vt:lpstr>
      <vt:lpstr>not in use--&gt;</vt:lpstr>
      <vt:lpstr>Auto Prices GSA</vt:lpstr>
      <vt:lpstr>CHARGING_EFFICIENCY</vt:lpstr>
      <vt:lpstr>CNG_MPG</vt:lpstr>
      <vt:lpstr>CNG_PRICES_2010DOLLARS</vt:lpstr>
      <vt:lpstr>CNGPRICE_CURRENT</vt:lpstr>
      <vt:lpstr>CV_MPG</vt:lpstr>
      <vt:lpstr>DISCOUNT_RATE</vt:lpstr>
      <vt:lpstr>DISCOUNT_RATE_FUEL</vt:lpstr>
      <vt:lpstr>E85_MPG</vt:lpstr>
      <vt:lpstr>E85_PRICE_2010DOLLARS</vt:lpstr>
      <vt:lpstr>E85_PRICE_CURRENT</vt:lpstr>
      <vt:lpstr>ELECTRICITY_CURRENT</vt:lpstr>
      <vt:lpstr>ELECTRICITYPRICE_2010DOLLARS</vt:lpstr>
      <vt:lpstr>GAS_PRICE_2010DOLLARS</vt:lpstr>
      <vt:lpstr>GAS_PRICE_CURRENT</vt:lpstr>
      <vt:lpstr>HEV_MPG</vt:lpstr>
      <vt:lpstr>HFCV_MPG</vt:lpstr>
      <vt:lpstr>HYDROGEN_CURRENT</vt:lpstr>
      <vt:lpstr>HYDROGENPRICES_2010DOLLARS</vt:lpstr>
      <vt:lpstr>LIFETIME_MILES</vt:lpstr>
      <vt:lpstr>LIFETIME_YEARS</vt:lpstr>
      <vt:lpstr>MI_KWH</vt:lpstr>
      <vt:lpstr>RFG_SHARE</vt:lpstr>
      <vt:lpstr>SCC</vt:lpstr>
      <vt:lpstr>TAR_SANDS</vt:lpstr>
    </vt:vector>
  </TitlesOfParts>
  <Company>The Brookings Institution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Dmitri Koustas</dc:creator>
  <cp:lastModifiedBy>Kaitlyn G</cp:lastModifiedBy>
  <cp:lastPrinted>2012-06-22T16:36:01Z</cp:lastPrinted>
  <dcterms:created xsi:type="dcterms:W3CDTF">2012-05-16T15:59:09Z</dcterms:created>
  <dcterms:modified xsi:type="dcterms:W3CDTF">2012-06-22T16:37:21Z</dcterms:modified>
</cp:coreProperties>
</file>